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1\Downloads\"/>
    </mc:Choice>
  </mc:AlternateContent>
  <xr:revisionPtr revIDLastSave="0" documentId="13_ncr:1_{20081B0A-1AA3-4407-8B7B-D6F38C3FC7C0}" xr6:coauthVersionLast="47" xr6:coauthVersionMax="47" xr10:uidLastSave="{00000000-0000-0000-0000-000000000000}"/>
  <bookViews>
    <workbookView xWindow="-120" yWindow="-120" windowWidth="20730" windowHeight="11040" xr2:uid="{AED10510-8238-4EDE-B018-BD7F77967871}"/>
  </bookViews>
  <sheets>
    <sheet name="CI DCF" sheetId="1" r:id="rId1"/>
    <sheet name="WAC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4" i="1" l="1"/>
  <c r="L63" i="1"/>
  <c r="L60" i="1"/>
  <c r="L61" i="1"/>
  <c r="D63" i="1"/>
  <c r="D61" i="1"/>
  <c r="D60" i="1"/>
  <c r="J44" i="1"/>
  <c r="K44" i="1"/>
  <c r="L44" i="1"/>
  <c r="M44" i="1"/>
  <c r="N44" i="1"/>
  <c r="O44" i="1"/>
  <c r="P44" i="1"/>
  <c r="Q44" i="1"/>
  <c r="R44" i="1"/>
  <c r="I44" i="1"/>
  <c r="J41" i="1"/>
  <c r="K41" i="1"/>
  <c r="L41" i="1"/>
  <c r="M41" i="1"/>
  <c r="N41" i="1"/>
  <c r="O41" i="1"/>
  <c r="P41" i="1"/>
  <c r="Q41" i="1"/>
  <c r="R41" i="1"/>
  <c r="I41" i="1"/>
  <c r="J11" i="1"/>
  <c r="K11" i="1"/>
  <c r="L11" i="1" s="1"/>
  <c r="M11" i="1" s="1"/>
  <c r="N11" i="1" s="1"/>
  <c r="O11" i="1" s="1"/>
  <c r="P11" i="1" s="1"/>
  <c r="Q11" i="1" s="1"/>
  <c r="R11" i="1" s="1"/>
  <c r="I11" i="1"/>
  <c r="I30" i="1"/>
  <c r="H12" i="1"/>
  <c r="G30" i="1"/>
  <c r="F30" i="1"/>
  <c r="E30" i="1"/>
  <c r="D30" i="1"/>
  <c r="J30" i="1" s="1"/>
  <c r="C30" i="1"/>
  <c r="I29" i="1" s="1"/>
  <c r="H30" i="1"/>
  <c r="G25" i="1"/>
  <c r="F25" i="1"/>
  <c r="E25" i="1"/>
  <c r="D25" i="1"/>
  <c r="C25" i="1"/>
  <c r="H25" i="1"/>
  <c r="H26" i="1" s="1"/>
  <c r="G23" i="1"/>
  <c r="F23" i="1"/>
  <c r="E23" i="1"/>
  <c r="D23" i="1"/>
  <c r="C23" i="1"/>
  <c r="G20" i="1"/>
  <c r="F20" i="1"/>
  <c r="E20" i="1"/>
  <c r="D20" i="1"/>
  <c r="C20" i="1"/>
  <c r="H23" i="1"/>
  <c r="K30" i="1" l="1"/>
  <c r="I22" i="1"/>
  <c r="G12" i="2"/>
  <c r="D64" i="1"/>
  <c r="C12" i="2" s="1"/>
  <c r="H16" i="1"/>
  <c r="H28" i="1" s="1"/>
  <c r="H34" i="1" s="1"/>
  <c r="G16" i="1"/>
  <c r="G17" i="1" s="1"/>
  <c r="F16" i="1"/>
  <c r="F17" i="1" s="1"/>
  <c r="D6" i="2"/>
  <c r="L30" i="1" l="1"/>
  <c r="M30" i="1"/>
  <c r="N30" i="1" s="1"/>
  <c r="H50" i="1"/>
  <c r="H54" i="1" s="1"/>
  <c r="G28" i="1"/>
  <c r="G32" i="1" s="1"/>
  <c r="G52" i="1" s="1"/>
  <c r="F28" i="1"/>
  <c r="F32" i="1" s="1"/>
  <c r="F52" i="1" s="1"/>
  <c r="H32" i="1"/>
  <c r="H52" i="1" s="1"/>
  <c r="C26" i="1"/>
  <c r="H20" i="1"/>
  <c r="C14" i="2"/>
  <c r="E45" i="1"/>
  <c r="D45" i="1"/>
  <c r="C45" i="1"/>
  <c r="F45" i="1"/>
  <c r="G45" i="1"/>
  <c r="H45" i="1"/>
  <c r="G42" i="1"/>
  <c r="H42" i="1"/>
  <c r="E42" i="1"/>
  <c r="C42" i="1"/>
  <c r="E26" i="1"/>
  <c r="G26" i="1"/>
  <c r="D48" i="1"/>
  <c r="C48" i="1"/>
  <c r="D42" i="1"/>
  <c r="D16" i="1"/>
  <c r="E16" i="1"/>
  <c r="C16" i="1"/>
  <c r="F48" i="1"/>
  <c r="G48" i="1"/>
  <c r="H48" i="1"/>
  <c r="F42" i="1"/>
  <c r="D12" i="1"/>
  <c r="E12" i="1"/>
  <c r="F12" i="1"/>
  <c r="G12" i="1"/>
  <c r="J9" i="1"/>
  <c r="K9" i="1" s="1"/>
  <c r="L9" i="1" s="1"/>
  <c r="M9" i="1" s="1"/>
  <c r="N9" i="1" s="1"/>
  <c r="O9" i="1" s="1"/>
  <c r="P9" i="1" s="1"/>
  <c r="Q9" i="1" s="1"/>
  <c r="R9" i="1" s="1"/>
  <c r="O30" i="1" l="1"/>
  <c r="C17" i="1"/>
  <c r="C28" i="1"/>
  <c r="C32" i="1" s="1"/>
  <c r="C52" i="1" s="1"/>
  <c r="D17" i="1"/>
  <c r="D28" i="1"/>
  <c r="D32" i="1" s="1"/>
  <c r="D52" i="1" s="1"/>
  <c r="E17" i="1"/>
  <c r="E28" i="1"/>
  <c r="E32" i="1" s="1"/>
  <c r="E52" i="1" s="1"/>
  <c r="H17" i="1"/>
  <c r="E48" i="1"/>
  <c r="K12" i="2"/>
  <c r="F26" i="1"/>
  <c r="D26" i="1"/>
  <c r="P30" i="1" l="1"/>
  <c r="Q30" i="1"/>
  <c r="R30" i="1" s="1"/>
  <c r="D34" i="1"/>
  <c r="D50" i="1" s="1"/>
  <c r="D54" i="1" s="1"/>
  <c r="C34" i="1"/>
  <c r="C50" i="1" s="1"/>
  <c r="E34" i="1"/>
  <c r="G34" i="1"/>
  <c r="G50" i="1" s="1"/>
  <c r="C13" i="2"/>
  <c r="G13" i="2"/>
  <c r="F34" i="1"/>
  <c r="H38" i="1"/>
  <c r="F38" i="1" l="1"/>
  <c r="F50" i="1"/>
  <c r="D35" i="1"/>
  <c r="E50" i="1"/>
  <c r="E54" i="1" s="1"/>
  <c r="C54" i="1"/>
  <c r="E38" i="1"/>
  <c r="C38" i="1"/>
  <c r="G54" i="1"/>
  <c r="G38" i="1"/>
  <c r="D38" i="1"/>
  <c r="G35" i="1"/>
  <c r="F54" i="1"/>
  <c r="E35" i="1"/>
  <c r="C35" i="1"/>
  <c r="K14" i="2"/>
  <c r="E5" i="1" s="1"/>
  <c r="H35" i="1"/>
  <c r="F35" i="1"/>
  <c r="I47" i="1" l="1"/>
  <c r="I19" i="1"/>
  <c r="I25" i="1" s="1"/>
  <c r="J29" i="1"/>
  <c r="I16" i="1"/>
  <c r="I28" i="1" s="1"/>
  <c r="I32" i="1" l="1"/>
  <c r="J19" i="1"/>
  <c r="J25" i="1" s="1"/>
  <c r="J47" i="1"/>
  <c r="J16" i="1"/>
  <c r="J22" i="1"/>
  <c r="K29" i="1"/>
  <c r="I14" i="1"/>
  <c r="J14" i="1" l="1"/>
  <c r="I34" i="1"/>
  <c r="I35" i="1" s="1"/>
  <c r="J28" i="1"/>
  <c r="J32" i="1" s="1"/>
  <c r="I26" i="1"/>
  <c r="J26" i="1"/>
  <c r="K19" i="1"/>
  <c r="K16" i="1"/>
  <c r="K47" i="1"/>
  <c r="L29" i="1"/>
  <c r="K22" i="1"/>
  <c r="K25" i="1" l="1"/>
  <c r="J34" i="1"/>
  <c r="K28" i="1"/>
  <c r="K32" i="1" s="1"/>
  <c r="L19" i="1"/>
  <c r="L22" i="1"/>
  <c r="L47" i="1"/>
  <c r="L16" i="1"/>
  <c r="M29" i="1"/>
  <c r="K14" i="1"/>
  <c r="L25" i="1" l="1"/>
  <c r="L28" i="1" s="1"/>
  <c r="L32" i="1" s="1"/>
  <c r="K26" i="1"/>
  <c r="K34" i="1"/>
  <c r="I37" i="1"/>
  <c r="I52" i="1" s="1"/>
  <c r="M47" i="1"/>
  <c r="M19" i="1"/>
  <c r="M22" i="1"/>
  <c r="N29" i="1"/>
  <c r="M16" i="1"/>
  <c r="L14" i="1"/>
  <c r="L26" i="1" l="1"/>
  <c r="M25" i="1"/>
  <c r="L34" i="1"/>
  <c r="M28" i="1"/>
  <c r="M32" i="1" s="1"/>
  <c r="I50" i="1"/>
  <c r="I54" i="1" s="1"/>
  <c r="I55" i="1" s="1"/>
  <c r="J37" i="1"/>
  <c r="J52" i="1" s="1"/>
  <c r="J35" i="1"/>
  <c r="N19" i="1"/>
  <c r="N22" i="1"/>
  <c r="N16" i="1"/>
  <c r="N47" i="1"/>
  <c r="O29" i="1"/>
  <c r="M14" i="1"/>
  <c r="N25" i="1" l="1"/>
  <c r="N14" i="1"/>
  <c r="M34" i="1"/>
  <c r="M26" i="1"/>
  <c r="J50" i="1"/>
  <c r="J54" i="1" s="1"/>
  <c r="J55" i="1" s="1"/>
  <c r="K35" i="1"/>
  <c r="K37" i="1"/>
  <c r="K52" i="1" s="1"/>
  <c r="O19" i="1"/>
  <c r="O22" i="1"/>
  <c r="O16" i="1"/>
  <c r="P29" i="1"/>
  <c r="O47" i="1"/>
  <c r="O25" i="1" l="1"/>
  <c r="O28" i="1" s="1"/>
  <c r="O32" i="1" s="1"/>
  <c r="N26" i="1"/>
  <c r="N28" i="1"/>
  <c r="N32" i="1" s="1"/>
  <c r="K50" i="1"/>
  <c r="K54" i="1" s="1"/>
  <c r="K55" i="1" s="1"/>
  <c r="L35" i="1"/>
  <c r="L37" i="1"/>
  <c r="L52" i="1" s="1"/>
  <c r="M35" i="1"/>
  <c r="M37" i="1"/>
  <c r="M52" i="1" s="1"/>
  <c r="O14" i="1"/>
  <c r="P19" i="1"/>
  <c r="P47" i="1"/>
  <c r="P22" i="1"/>
  <c r="P16" i="1"/>
  <c r="P25" i="1" l="1"/>
  <c r="N34" i="1"/>
  <c r="O34" i="1"/>
  <c r="O26" i="1"/>
  <c r="M50" i="1"/>
  <c r="M54" i="1" s="1"/>
  <c r="M55" i="1" s="1"/>
  <c r="P14" i="1"/>
  <c r="L50" i="1"/>
  <c r="L54" i="1" s="1"/>
  <c r="L55" i="1" s="1"/>
  <c r="P26" i="1" l="1"/>
  <c r="P28" i="1"/>
  <c r="P32" i="1" s="1"/>
  <c r="N35" i="1"/>
  <c r="N37" i="1"/>
  <c r="N52" i="1" s="1"/>
  <c r="O37" i="1"/>
  <c r="O52" i="1" s="1"/>
  <c r="O35" i="1"/>
  <c r="P34" i="1" l="1"/>
  <c r="O50" i="1"/>
  <c r="O54" i="1" s="1"/>
  <c r="O55" i="1" s="1"/>
  <c r="N50" i="1"/>
  <c r="N54" i="1" s="1"/>
  <c r="N55" i="1" s="1"/>
  <c r="P35" i="1" l="1"/>
  <c r="P37" i="1"/>
  <c r="P52" i="1" s="1"/>
  <c r="P50" i="1" l="1"/>
  <c r="P54" i="1" s="1"/>
  <c r="P55" i="1" s="1"/>
  <c r="F40" i="1" l="1"/>
  <c r="G40" i="1"/>
  <c r="Q29" i="1" l="1"/>
  <c r="Q22" i="1"/>
  <c r="Q16" i="1"/>
  <c r="Q14" i="1" s="1"/>
  <c r="Q19" i="1"/>
  <c r="Q25" i="1" s="1"/>
  <c r="Q26" i="1" s="1"/>
  <c r="Q47" i="1"/>
  <c r="Q28" i="1" l="1"/>
  <c r="R19" i="1"/>
  <c r="R47" i="1"/>
  <c r="R22" i="1"/>
  <c r="R29" i="1"/>
  <c r="R16" i="1"/>
  <c r="R14" i="1" s="1"/>
  <c r="R25" i="1" l="1"/>
  <c r="R26" i="1" s="1"/>
  <c r="Q34" i="1"/>
  <c r="Q32" i="1"/>
  <c r="R28" i="1" l="1"/>
  <c r="R32" i="1" s="1"/>
  <c r="Q35" i="1"/>
  <c r="Q37" i="1"/>
  <c r="Q50" i="1" s="1"/>
  <c r="R34" i="1"/>
  <c r="Q52" i="1" l="1"/>
  <c r="R37" i="1"/>
  <c r="R52" i="1" s="1"/>
  <c r="S52" i="1" s="1"/>
  <c r="T52" i="1" s="1"/>
  <c r="U52" i="1" s="1"/>
  <c r="V52" i="1" s="1"/>
  <c r="W52" i="1" s="1"/>
  <c r="X52" i="1" s="1"/>
  <c r="Y52" i="1" s="1"/>
  <c r="Z52" i="1" s="1"/>
  <c r="AA52" i="1" s="1"/>
  <c r="AB52" i="1" s="1"/>
  <c r="AC52" i="1" s="1"/>
  <c r="AD52" i="1" s="1"/>
  <c r="AE52" i="1" s="1"/>
  <c r="AF52" i="1" s="1"/>
  <c r="AG52" i="1" s="1"/>
  <c r="AH52" i="1" s="1"/>
  <c r="AI52" i="1" s="1"/>
  <c r="AJ52" i="1" s="1"/>
  <c r="AK52" i="1" s="1"/>
  <c r="AL52" i="1" s="1"/>
  <c r="AM52" i="1" s="1"/>
  <c r="AN52" i="1" s="1"/>
  <c r="AO52" i="1" s="1"/>
  <c r="AP52" i="1" s="1"/>
  <c r="AQ52" i="1" s="1"/>
  <c r="AR52" i="1" s="1"/>
  <c r="AS52" i="1" s="1"/>
  <c r="AT52" i="1" s="1"/>
  <c r="AU52" i="1" s="1"/>
  <c r="AV52" i="1" s="1"/>
  <c r="AW52" i="1" s="1"/>
  <c r="AX52" i="1" s="1"/>
  <c r="AY52" i="1" s="1"/>
  <c r="AZ52" i="1" s="1"/>
  <c r="BA52" i="1" s="1"/>
  <c r="BB52" i="1" s="1"/>
  <c r="BC52" i="1" s="1"/>
  <c r="BD52" i="1" s="1"/>
  <c r="BE52" i="1" s="1"/>
  <c r="BF52" i="1" s="1"/>
  <c r="BG52" i="1" s="1"/>
  <c r="BH52" i="1" s="1"/>
  <c r="BI52" i="1" s="1"/>
  <c r="BJ52" i="1" s="1"/>
  <c r="BK52" i="1" s="1"/>
  <c r="BL52" i="1" s="1"/>
  <c r="BM52" i="1" s="1"/>
  <c r="BN52" i="1" s="1"/>
  <c r="BO52" i="1" s="1"/>
  <c r="BP52" i="1" s="1"/>
  <c r="BQ52" i="1" s="1"/>
  <c r="BR52" i="1" s="1"/>
  <c r="BS52" i="1" s="1"/>
  <c r="BT52" i="1" s="1"/>
  <c r="BU52" i="1" s="1"/>
  <c r="BV52" i="1" s="1"/>
  <c r="BW52" i="1" s="1"/>
  <c r="BX52" i="1" s="1"/>
  <c r="BY52" i="1" s="1"/>
  <c r="BZ52" i="1" s="1"/>
  <c r="CA52" i="1" s="1"/>
  <c r="CB52" i="1" s="1"/>
  <c r="CC52" i="1" s="1"/>
  <c r="CD52" i="1" s="1"/>
  <c r="CE52" i="1" s="1"/>
  <c r="CF52" i="1" s="1"/>
  <c r="CG52" i="1" s="1"/>
  <c r="CH52" i="1" s="1"/>
  <c r="R35" i="1"/>
  <c r="R50" i="1" l="1"/>
  <c r="F57" i="1"/>
  <c r="H60" i="1" s="1"/>
  <c r="H62" i="1" s="1"/>
  <c r="H65" i="1" s="1"/>
  <c r="Q54" i="1"/>
  <c r="Q55" i="1" s="1"/>
  <c r="R54" i="1"/>
  <c r="R55" i="1" l="1"/>
  <c r="C57" i="1"/>
  <c r="C58" i="1" s="1"/>
  <c r="G60" i="1" l="1"/>
  <c r="G62" i="1" s="1"/>
  <c r="G65" i="1" s="1"/>
  <c r="D65" i="1" s="1"/>
  <c r="J6" i="1" s="1"/>
  <c r="N5" i="1" s="1"/>
  <c r="L59" i="1" l="1"/>
</calcChain>
</file>

<file path=xl/sharedStrings.xml><?xml version="1.0" encoding="utf-8"?>
<sst xmlns="http://schemas.openxmlformats.org/spreadsheetml/2006/main" count="83" uniqueCount="57">
  <si>
    <t xml:space="preserve">Valuation Assumptions: </t>
  </si>
  <si>
    <t>WACC</t>
  </si>
  <si>
    <t>Current price   :</t>
  </si>
  <si>
    <t xml:space="preserve">Upside/Downside : </t>
  </si>
  <si>
    <t>Terminal rate</t>
  </si>
  <si>
    <t xml:space="preserve">Implied price   : </t>
  </si>
  <si>
    <t>Income Statement</t>
  </si>
  <si>
    <t>Revenue</t>
  </si>
  <si>
    <t>% growth</t>
  </si>
  <si>
    <t>COGS</t>
  </si>
  <si>
    <t>Gross Profit</t>
  </si>
  <si>
    <t>% Gross Margin</t>
  </si>
  <si>
    <t>Opex</t>
  </si>
  <si>
    <t>Operating income</t>
  </si>
  <si>
    <t>Other income</t>
  </si>
  <si>
    <t>Pre-tax income</t>
  </si>
  <si>
    <t>EBIT</t>
  </si>
  <si>
    <t>% Revenue</t>
  </si>
  <si>
    <t>Taxes</t>
  </si>
  <si>
    <t>% EBIT</t>
  </si>
  <si>
    <t>Cash Flow Statement</t>
  </si>
  <si>
    <t>D&amp;A</t>
  </si>
  <si>
    <t>CapEx</t>
  </si>
  <si>
    <t>change NWC</t>
  </si>
  <si>
    <t>EBIAT</t>
  </si>
  <si>
    <t>Net income</t>
  </si>
  <si>
    <t>FCF</t>
  </si>
  <si>
    <t>Present value FCF</t>
  </si>
  <si>
    <t>TV</t>
  </si>
  <si>
    <t>DNI</t>
  </si>
  <si>
    <t>PV of TV</t>
  </si>
  <si>
    <t>Enterprise Value</t>
  </si>
  <si>
    <t>DCF</t>
  </si>
  <si>
    <t>Cash</t>
  </si>
  <si>
    <t>Debt</t>
  </si>
  <si>
    <t>Equity Value</t>
  </si>
  <si>
    <t>Shares</t>
  </si>
  <si>
    <t xml:space="preserve">Current market cap </t>
  </si>
  <si>
    <t>Share Price</t>
  </si>
  <si>
    <t>Mean:</t>
  </si>
  <si>
    <t>​</t>
  </si>
  <si>
    <t xml:space="preserve">Assumpions: </t>
  </si>
  <si>
    <t>Tax Rate</t>
  </si>
  <si>
    <t>Risk Free Rate</t>
  </si>
  <si>
    <t>Beta</t>
  </si>
  <si>
    <t>Market Risk Premium</t>
  </si>
  <si>
    <t>D+E</t>
  </si>
  <si>
    <t>% Equity</t>
  </si>
  <si>
    <t>% Debt</t>
  </si>
  <si>
    <t>Cost of Equity</t>
  </si>
  <si>
    <t>Cost of Debt</t>
  </si>
  <si>
    <t xml:space="preserve">                                             Terminal Growth Rate</t>
  </si>
  <si>
    <t>Other</t>
  </si>
  <si>
    <t>SG&amp;A</t>
  </si>
  <si>
    <t>NCI</t>
  </si>
  <si>
    <t>Last update :</t>
  </si>
  <si>
    <t>Cigna DCF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</si>
</sst>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0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rgb="FF00B05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theme="1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0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0" applyFont="1" applyFill="1" applyBorder="1"/>
    <xf numFmtId="0" fontId="5" fillId="2" borderId="0" xfId="0" applyFont="1" applyFill="1"/>
    <xf numFmtId="0" fontId="6" fillId="2" borderId="0" xfId="0" applyFont="1" applyFill="1"/>
    <xf numFmtId="0" fontId="3" fillId="2" borderId="0" xfId="0" applyFont="1" applyFill="1" applyAlignment="1">
      <alignment horizontal="left"/>
    </xf>
    <xf numFmtId="164" fontId="3" fillId="2" borderId="0" xfId="0" applyNumberFormat="1" applyFont="1" applyFill="1" applyAlignment="1">
      <alignment horizontal="center"/>
    </xf>
    <xf numFmtId="0" fontId="6" fillId="3" borderId="0" xfId="0" applyFont="1" applyFill="1"/>
    <xf numFmtId="0" fontId="6" fillId="4" borderId="0" xfId="0" applyFont="1" applyFill="1"/>
    <xf numFmtId="3" fontId="3" fillId="2" borderId="0" xfId="0" applyNumberFormat="1" applyFont="1" applyFill="1"/>
    <xf numFmtId="0" fontId="3" fillId="2" borderId="4" xfId="0" applyFont="1" applyFill="1" applyBorder="1"/>
    <xf numFmtId="0" fontId="7" fillId="2" borderId="0" xfId="0" applyFont="1" applyFill="1"/>
    <xf numFmtId="164" fontId="7" fillId="2" borderId="0" xfId="1" applyNumberFormat="1" applyFont="1" applyFill="1"/>
    <xf numFmtId="0" fontId="3" fillId="2" borderId="3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1" fontId="3" fillId="2" borderId="0" xfId="0" applyNumberFormat="1" applyFont="1" applyFill="1"/>
    <xf numFmtId="164" fontId="7" fillId="2" borderId="4" xfId="1" applyNumberFormat="1" applyFont="1" applyFill="1" applyBorder="1"/>
    <xf numFmtId="1" fontId="3" fillId="2" borderId="4" xfId="0" applyNumberFormat="1" applyFont="1" applyFill="1" applyBorder="1"/>
    <xf numFmtId="10" fontId="3" fillId="2" borderId="0" xfId="1" applyNumberFormat="1" applyFont="1" applyFill="1"/>
    <xf numFmtId="3" fontId="0" fillId="2" borderId="0" xfId="0" applyNumberFormat="1" applyFill="1"/>
    <xf numFmtId="3" fontId="3" fillId="0" borderId="0" xfId="0" applyNumberFormat="1" applyFont="1"/>
    <xf numFmtId="0" fontId="3" fillId="4" borderId="0" xfId="0" applyFont="1" applyFill="1"/>
    <xf numFmtId="0" fontId="3" fillId="2" borderId="7" xfId="0" applyFont="1" applyFill="1" applyBorder="1"/>
    <xf numFmtId="1" fontId="0" fillId="2" borderId="0" xfId="0" applyNumberFormat="1" applyFill="1"/>
    <xf numFmtId="1" fontId="0" fillId="2" borderId="5" xfId="0" applyNumberFormat="1" applyFill="1" applyBorder="1"/>
    <xf numFmtId="0" fontId="0" fillId="5" borderId="0" xfId="0" applyFill="1"/>
    <xf numFmtId="0" fontId="3" fillId="2" borderId="0" xfId="0" quotePrefix="1" applyFont="1" applyFill="1"/>
    <xf numFmtId="0" fontId="3" fillId="2" borderId="1" xfId="0" quotePrefix="1" applyFont="1" applyFill="1" applyBorder="1"/>
    <xf numFmtId="3" fontId="6" fillId="2" borderId="0" xfId="0" applyNumberFormat="1" applyFont="1" applyFill="1"/>
    <xf numFmtId="3" fontId="2" fillId="2" borderId="0" xfId="0" applyNumberFormat="1" applyFont="1" applyFill="1"/>
    <xf numFmtId="0" fontId="3" fillId="2" borderId="8" xfId="0" applyFont="1" applyFill="1" applyBorder="1"/>
    <xf numFmtId="2" fontId="6" fillId="2" borderId="0" xfId="0" applyNumberFormat="1" applyFont="1" applyFill="1"/>
    <xf numFmtId="3" fontId="3" fillId="2" borderId="5" xfId="0" applyNumberFormat="1" applyFont="1" applyFill="1" applyBorder="1"/>
    <xf numFmtId="3" fontId="0" fillId="0" borderId="0" xfId="0" applyNumberFormat="1"/>
    <xf numFmtId="3" fontId="3" fillId="2" borderId="0" xfId="0" applyNumberFormat="1" applyFont="1" applyFill="1" applyAlignment="1">
      <alignment horizontal="center"/>
    </xf>
    <xf numFmtId="0" fontId="10" fillId="2" borderId="0" xfId="0" applyFont="1" applyFill="1"/>
    <xf numFmtId="0" fontId="0" fillId="2" borderId="1" xfId="0" applyFill="1" applyBorder="1"/>
    <xf numFmtId="0" fontId="0" fillId="2" borderId="6" xfId="0" applyFill="1" applyBorder="1"/>
    <xf numFmtId="0" fontId="0" fillId="6" borderId="0" xfId="0" applyFill="1"/>
    <xf numFmtId="164" fontId="0" fillId="7" borderId="0" xfId="0" applyNumberFormat="1" applyFill="1" applyAlignment="1">
      <alignment horizontal="right"/>
    </xf>
    <xf numFmtId="0" fontId="0" fillId="7" borderId="0" xfId="0" applyFill="1" applyAlignment="1">
      <alignment horizontal="right"/>
    </xf>
    <xf numFmtId="9" fontId="0" fillId="2" borderId="0" xfId="1" applyFont="1" applyFill="1"/>
    <xf numFmtId="164" fontId="0" fillId="2" borderId="0" xfId="0" applyNumberFormat="1" applyFill="1" applyAlignment="1">
      <alignment horizontal="right"/>
    </xf>
    <xf numFmtId="164" fontId="0" fillId="2" borderId="0" xfId="0" applyNumberFormat="1" applyFill="1"/>
    <xf numFmtId="164" fontId="0" fillId="2" borderId="2" xfId="0" applyNumberFormat="1" applyFill="1" applyBorder="1" applyAlignment="1">
      <alignment horizontal="right"/>
    </xf>
    <xf numFmtId="0" fontId="2" fillId="2" borderId="9" xfId="0" applyFont="1" applyFill="1" applyBorder="1"/>
    <xf numFmtId="0" fontId="0" fillId="2" borderId="10" xfId="0" applyFill="1" applyBorder="1"/>
    <xf numFmtId="164" fontId="7" fillId="2" borderId="0" xfId="1" applyNumberFormat="1" applyFont="1" applyFill="1" applyBorder="1"/>
    <xf numFmtId="0" fontId="0" fillId="8" borderId="0" xfId="0" applyFill="1"/>
    <xf numFmtId="0" fontId="3" fillId="9" borderId="0" xfId="0" applyFont="1" applyFill="1"/>
    <xf numFmtId="0" fontId="3" fillId="9" borderId="0" xfId="0" applyFont="1" applyFill="1" applyAlignment="1">
      <alignment horizontal="center"/>
    </xf>
    <xf numFmtId="2" fontId="3" fillId="2" borderId="0" xfId="0" applyNumberFormat="1" applyFont="1" applyFill="1"/>
    <xf numFmtId="164" fontId="0" fillId="10" borderId="0" xfId="0" applyNumberFormat="1" applyFill="1"/>
    <xf numFmtId="164" fontId="0" fillId="10" borderId="0" xfId="0" applyNumberFormat="1" applyFill="1" applyAlignment="1">
      <alignment horizontal="left"/>
    </xf>
    <xf numFmtId="2" fontId="0" fillId="2" borderId="0" xfId="0" applyNumberFormat="1" applyFill="1"/>
    <xf numFmtId="2" fontId="0" fillId="3" borderId="0" xfId="0" applyNumberFormat="1" applyFill="1"/>
    <xf numFmtId="164" fontId="3" fillId="10" borderId="0" xfId="1" applyNumberFormat="1" applyFont="1" applyFill="1" applyBorder="1" applyAlignment="1">
      <alignment horizontal="left"/>
    </xf>
    <xf numFmtId="2" fontId="11" fillId="11" borderId="0" xfId="0" applyNumberFormat="1" applyFont="1" applyFill="1"/>
    <xf numFmtId="164" fontId="0" fillId="10" borderId="0" xfId="1" applyNumberFormat="1" applyFont="1" applyFill="1" applyBorder="1" applyAlignment="1">
      <alignment horizontal="left"/>
    </xf>
    <xf numFmtId="3" fontId="3" fillId="8" borderId="0" xfId="0" applyNumberFormat="1" applyFont="1" applyFill="1"/>
    <xf numFmtId="1" fontId="3" fillId="2" borderId="1" xfId="0" applyNumberFormat="1" applyFont="1" applyFill="1" applyBorder="1"/>
    <xf numFmtId="0" fontId="6" fillId="4" borderId="4" xfId="0" applyFont="1" applyFill="1" applyBorder="1"/>
    <xf numFmtId="1" fontId="3" fillId="2" borderId="12" xfId="0" applyNumberFormat="1" applyFont="1" applyFill="1" applyBorder="1"/>
    <xf numFmtId="3" fontId="3" fillId="2" borderId="4" xfId="0" applyNumberFormat="1" applyFont="1" applyFill="1" applyBorder="1"/>
    <xf numFmtId="0" fontId="6" fillId="3" borderId="4" xfId="0" applyFont="1" applyFill="1" applyBorder="1"/>
    <xf numFmtId="14" fontId="3" fillId="2" borderId="0" xfId="0" applyNumberFormat="1" applyFont="1" applyFill="1"/>
    <xf numFmtId="9" fontId="3" fillId="2" borderId="0" xfId="1" applyFont="1" applyFill="1" applyAlignment="1">
      <alignment horizontal="left"/>
    </xf>
    <xf numFmtId="165" fontId="2" fillId="2" borderId="11" xfId="0" applyNumberFormat="1" applyFont="1" applyFill="1" applyBorder="1"/>
    <xf numFmtId="0" fontId="7" fillId="12" borderId="0" xfId="0" applyFont="1" applyFill="1"/>
    <xf numFmtId="164" fontId="7" fillId="12" borderId="0" xfId="1" applyNumberFormat="1" applyFont="1" applyFill="1"/>
    <xf numFmtId="164" fontId="3" fillId="12" borderId="0" xfId="1" applyNumberFormat="1" applyFont="1" applyFill="1"/>
    <xf numFmtId="0" fontId="3" fillId="2" borderId="0" xfId="1" applyNumberFormat="1" applyFont="1" applyFill="1"/>
    <xf numFmtId="3" fontId="0" fillId="2" borderId="1" xfId="0" applyNumberFormat="1" applyFill="1" applyBorder="1"/>
    <xf numFmtId="0" fontId="0" fillId="2" borderId="4" xfId="0" applyFill="1" applyBorder="1"/>
    <xf numFmtId="14" fontId="3" fillId="2" borderId="0" xfId="0" applyNumberFormat="1" applyFont="1" applyFill="1" applyAlignment="1">
      <alignment horizontal="left"/>
    </xf>
    <xf numFmtId="1" fontId="3" fillId="2" borderId="4" xfId="1" applyNumberFormat="1" applyFont="1" applyFill="1" applyBorder="1"/>
    <xf numFmtId="164" fontId="3" fillId="2" borderId="0" xfId="1" applyNumberFormat="1" applyFont="1" applyFill="1"/>
    <xf numFmtId="164" fontId="8" fillId="8" borderId="4" xfId="0" applyNumberFormat="1" applyFont="1" applyFill="1" applyBorder="1"/>
    <xf numFmtId="164" fontId="8" fillId="8" borderId="4" xfId="1" applyNumberFormat="1" applyFont="1" applyFill="1" applyBorder="1"/>
    <xf numFmtId="164" fontId="8" fillId="8" borderId="0" xfId="1" applyNumberFormat="1" applyFont="1" applyFill="1" applyBorder="1"/>
    <xf numFmtId="164" fontId="9" fillId="8" borderId="4" xfId="1" applyNumberFormat="1" applyFont="1" applyFill="1" applyBorder="1"/>
    <xf numFmtId="164" fontId="9" fillId="8" borderId="0" xfId="1" applyNumberFormat="1" applyFont="1" applyFill="1" applyBorder="1"/>
    <xf numFmtId="10" fontId="8" fillId="8" borderId="4" xfId="0" applyNumberFormat="1" applyFont="1" applyFill="1" applyBorder="1"/>
    <xf numFmtId="164" fontId="7" fillId="8" borderId="4" xfId="1" applyNumberFormat="1" applyFont="1" applyFill="1" applyBorder="1"/>
    <xf numFmtId="164" fontId="3" fillId="8" borderId="4" xfId="0" applyNumberFormat="1" applyFont="1" applyFill="1" applyBorder="1"/>
    <xf numFmtId="10" fontId="7" fillId="2" borderId="0" xfId="1" applyNumberFormat="1" applyFont="1" applyFill="1"/>
    <xf numFmtId="2" fontId="3" fillId="2" borderId="0" xfId="0" applyNumberFormat="1" applyFont="1" applyFill="1" applyAlignment="1">
      <alignment horizontal="left"/>
    </xf>
    <xf numFmtId="164" fontId="3" fillId="8" borderId="0" xfId="0" applyNumberFormat="1" applyFont="1" applyFill="1" applyBorder="1"/>
    <xf numFmtId="1" fontId="3" fillId="2" borderId="0" xfId="0" applyNumberFormat="1" applyFont="1" applyFill="1" applyBorder="1"/>
    <xf numFmtId="0" fontId="3" fillId="2" borderId="0" xfId="0" applyFont="1" applyFill="1" applyBorder="1"/>
    <xf numFmtId="0" fontId="0" fillId="2" borderId="0" xfId="0" applyFill="1" applyBorder="1"/>
    <xf numFmtId="164" fontId="8" fillId="8" borderId="0" xfId="0" applyNumberFormat="1" applyFont="1" applyFill="1" applyBorder="1"/>
    <xf numFmtId="3" fontId="3" fillId="2" borderId="0" xfId="0" applyNumberFormat="1" applyFont="1" applyFill="1" applyBorder="1"/>
    <xf numFmtId="1" fontId="3" fillId="2" borderId="0" xfId="1" applyNumberFormat="1" applyFont="1" applyFill="1" applyBorder="1"/>
    <xf numFmtId="10" fontId="8" fillId="8" borderId="0" xfId="0" applyNumberFormat="1" applyFont="1" applyFill="1" applyBorder="1"/>
    <xf numFmtId="0" fontId="6" fillId="3" borderId="0" xfId="0" applyFont="1" applyFill="1" applyBorder="1"/>
    <xf numFmtId="164" fontId="7" fillId="8" borderId="0" xfId="1" applyNumberFormat="1" applyFon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CCFFCC"/>
      <color rgb="FFCCECFF"/>
      <color rgb="FFCCFF99"/>
      <color rgb="FF99FFCC"/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D9B77-4948-48A4-A619-C1F4913720ED}">
  <dimension ref="A1:CH66"/>
  <sheetViews>
    <sheetView tabSelected="1" topLeftCell="C1" workbookViewId="0">
      <selection activeCell="I4" sqref="I4"/>
    </sheetView>
  </sheetViews>
  <sheetFormatPr defaultRowHeight="15" x14ac:dyDescent="0.25"/>
  <cols>
    <col min="1" max="1" width="7.7109375" style="2" customWidth="1"/>
    <col min="2" max="2" width="20.140625" style="2" customWidth="1"/>
    <col min="3" max="3" width="11" style="2" customWidth="1"/>
    <col min="4" max="4" width="9" style="2" customWidth="1"/>
    <col min="5" max="6" width="9.140625" style="2"/>
    <col min="7" max="7" width="11.5703125" style="2" customWidth="1"/>
    <col min="8" max="8" width="11.28515625" style="2" customWidth="1"/>
    <col min="9" max="15" width="12.5703125" style="2" bestFit="1" customWidth="1"/>
    <col min="16" max="16" width="10.7109375" style="2" customWidth="1"/>
    <col min="17" max="18" width="12.5703125" style="2" bestFit="1" customWidth="1"/>
    <col min="19" max="16384" width="9.140625" style="51"/>
  </cols>
  <sheetData>
    <row r="1" spans="1:86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86" ht="23.25" x14ac:dyDescent="0.35">
      <c r="A2" s="3"/>
      <c r="B2" s="4" t="s">
        <v>56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9"/>
    </row>
    <row r="3" spans="1:86" ht="21" x14ac:dyDescent="0.35">
      <c r="A3" s="1"/>
      <c r="B3" s="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86" x14ac:dyDescent="0.25">
      <c r="A4" s="1"/>
      <c r="B4" s="6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86" x14ac:dyDescent="0.25">
      <c r="A5" s="1"/>
      <c r="B5" s="1"/>
      <c r="C5" s="7" t="s">
        <v>1</v>
      </c>
      <c r="D5" s="1"/>
      <c r="E5" s="8">
        <f>WACC!K14</f>
        <v>6.782994225944837E-2</v>
      </c>
      <c r="G5" s="1"/>
      <c r="H5" s="1" t="s">
        <v>2</v>
      </c>
      <c r="I5" s="1"/>
      <c r="J5" s="7">
        <v>255.48</v>
      </c>
      <c r="K5" s="1"/>
      <c r="L5" s="1" t="s">
        <v>3</v>
      </c>
      <c r="M5" s="1"/>
      <c r="N5" s="69">
        <f>(J6/J5)-1</f>
        <v>0.32286932976790239</v>
      </c>
      <c r="O5" s="1"/>
      <c r="P5" s="1"/>
      <c r="Q5" s="1"/>
    </row>
    <row r="6" spans="1:86" x14ac:dyDescent="0.25">
      <c r="A6" s="1"/>
      <c r="B6" s="1"/>
      <c r="C6" s="7" t="s">
        <v>4</v>
      </c>
      <c r="D6" s="1"/>
      <c r="E6" s="8">
        <v>0.01</v>
      </c>
      <c r="G6" s="1"/>
      <c r="H6" s="1" t="s">
        <v>5</v>
      </c>
      <c r="I6" s="1"/>
      <c r="J6" s="89">
        <f>D65</f>
        <v>337.9666563691037</v>
      </c>
      <c r="K6" s="1"/>
      <c r="L6" s="1" t="s">
        <v>55</v>
      </c>
      <c r="M6" s="1"/>
      <c r="N6" s="77">
        <v>45065</v>
      </c>
      <c r="O6" s="1"/>
      <c r="P6" s="1"/>
      <c r="Q6" s="1"/>
    </row>
    <row r="7" spans="1:86" x14ac:dyDescent="0.25">
      <c r="B7" s="68"/>
      <c r="C7" s="1"/>
      <c r="D7" s="1"/>
      <c r="E7" s="8"/>
      <c r="F7" s="1"/>
      <c r="G7" s="1"/>
      <c r="H7" s="1"/>
      <c r="I7" s="1"/>
      <c r="J7" s="1"/>
      <c r="K7" s="1"/>
      <c r="L7" s="57"/>
      <c r="M7" s="1"/>
      <c r="N7" s="1"/>
      <c r="O7" s="1"/>
      <c r="P7" s="1"/>
      <c r="Q7" s="1"/>
    </row>
    <row r="8" spans="1:86" x14ac:dyDescent="0.25">
      <c r="A8" s="1"/>
      <c r="B8" s="11"/>
      <c r="C8" s="1"/>
      <c r="D8" s="1"/>
      <c r="E8" s="37"/>
      <c r="F8" s="1"/>
      <c r="G8" s="1"/>
      <c r="H8" s="11"/>
      <c r="I8" s="1"/>
      <c r="J8" s="1"/>
      <c r="K8" s="1"/>
      <c r="L8" s="1"/>
      <c r="M8" s="1"/>
      <c r="N8" s="1"/>
      <c r="O8" s="1"/>
      <c r="P8" s="1"/>
      <c r="Q8" s="1"/>
    </row>
    <row r="9" spans="1:86" x14ac:dyDescent="0.25">
      <c r="A9" s="1"/>
      <c r="B9" s="1"/>
      <c r="C9" s="1"/>
      <c r="D9" s="1"/>
      <c r="E9" s="1"/>
      <c r="F9" s="1"/>
      <c r="G9" s="1"/>
      <c r="H9" s="1"/>
      <c r="I9" s="1">
        <v>1</v>
      </c>
      <c r="J9" s="1">
        <f>I9+1</f>
        <v>2</v>
      </c>
      <c r="K9" s="1">
        <f t="shared" ref="K9:R9" si="0">J9+1</f>
        <v>3</v>
      </c>
      <c r="L9" s="1">
        <f t="shared" si="0"/>
        <v>4</v>
      </c>
      <c r="M9" s="1">
        <f t="shared" si="0"/>
        <v>5</v>
      </c>
      <c r="N9" s="1">
        <f t="shared" si="0"/>
        <v>6</v>
      </c>
      <c r="O9" s="1">
        <f t="shared" si="0"/>
        <v>7</v>
      </c>
      <c r="P9" s="1">
        <f t="shared" si="0"/>
        <v>8</v>
      </c>
      <c r="Q9" s="1">
        <f t="shared" si="0"/>
        <v>9</v>
      </c>
      <c r="R9" s="1">
        <f t="shared" si="0"/>
        <v>10</v>
      </c>
    </row>
    <row r="10" spans="1:86" x14ac:dyDescent="0.25">
      <c r="A10" s="1"/>
      <c r="B10" s="9" t="s">
        <v>6</v>
      </c>
      <c r="C10" s="10">
        <v>2017</v>
      </c>
      <c r="D10" s="9">
        <v>2018</v>
      </c>
      <c r="E10" s="9">
        <v>2019</v>
      </c>
      <c r="F10" s="10">
        <v>2020</v>
      </c>
      <c r="G10" s="9">
        <v>2021</v>
      </c>
      <c r="H10" s="9">
        <v>2022</v>
      </c>
      <c r="I10" s="64">
        <v>2023</v>
      </c>
      <c r="J10" s="10">
        <v>2024</v>
      </c>
      <c r="K10" s="10">
        <v>2025</v>
      </c>
      <c r="L10" s="10">
        <v>2026</v>
      </c>
      <c r="M10" s="10">
        <v>2027</v>
      </c>
      <c r="N10" s="10">
        <v>2028</v>
      </c>
      <c r="O10" s="10">
        <v>2029</v>
      </c>
      <c r="P10" s="10">
        <v>2030</v>
      </c>
      <c r="Q10" s="10">
        <v>2031</v>
      </c>
      <c r="R10" s="10">
        <v>2032</v>
      </c>
      <c r="S10" s="9">
        <v>2033</v>
      </c>
      <c r="T10" s="9">
        <v>2034</v>
      </c>
      <c r="U10" s="9">
        <v>2035</v>
      </c>
      <c r="V10" s="9">
        <v>2036</v>
      </c>
      <c r="W10" s="9">
        <v>2037</v>
      </c>
      <c r="X10" s="9">
        <v>2038</v>
      </c>
      <c r="Y10" s="9">
        <v>2039</v>
      </c>
      <c r="Z10" s="9">
        <v>2040</v>
      </c>
      <c r="AA10" s="9">
        <v>2041</v>
      </c>
      <c r="AB10" s="9">
        <v>2042</v>
      </c>
      <c r="AC10" s="9">
        <v>2043</v>
      </c>
      <c r="AD10" s="9">
        <v>2044</v>
      </c>
      <c r="AE10" s="9">
        <v>2045</v>
      </c>
      <c r="AF10" s="9">
        <v>2046</v>
      </c>
      <c r="AG10" s="9">
        <v>2047</v>
      </c>
      <c r="AH10" s="9">
        <v>2048</v>
      </c>
      <c r="AI10" s="9">
        <v>2049</v>
      </c>
      <c r="AJ10" s="9">
        <v>2050</v>
      </c>
      <c r="AK10" s="9">
        <v>2051</v>
      </c>
      <c r="AL10" s="9">
        <v>2052</v>
      </c>
      <c r="AM10" s="9">
        <v>2053</v>
      </c>
      <c r="AN10" s="9">
        <v>2054</v>
      </c>
      <c r="AO10" s="9">
        <v>2055</v>
      </c>
      <c r="AP10" s="9">
        <v>2056</v>
      </c>
      <c r="AQ10" s="9">
        <v>2057</v>
      </c>
      <c r="AR10" s="9">
        <v>2058</v>
      </c>
      <c r="AS10" s="9">
        <v>2059</v>
      </c>
      <c r="AT10" s="9">
        <v>2060</v>
      </c>
      <c r="AU10" s="9">
        <v>2061</v>
      </c>
      <c r="AV10" s="9">
        <v>2062</v>
      </c>
      <c r="AW10" s="9">
        <v>2063</v>
      </c>
      <c r="AX10" s="9">
        <v>2064</v>
      </c>
      <c r="AY10" s="9">
        <v>2065</v>
      </c>
      <c r="AZ10" s="9">
        <v>2066</v>
      </c>
      <c r="BA10" s="9">
        <v>2067</v>
      </c>
      <c r="BB10" s="9">
        <v>2068</v>
      </c>
      <c r="BC10" s="9">
        <v>2069</v>
      </c>
      <c r="BD10" s="9">
        <v>2070</v>
      </c>
      <c r="BE10" s="9">
        <v>2071</v>
      </c>
      <c r="BF10" s="9">
        <v>2072</v>
      </c>
      <c r="BG10" s="9">
        <v>2073</v>
      </c>
      <c r="BH10" s="9">
        <v>2074</v>
      </c>
      <c r="BI10" s="9">
        <v>2075</v>
      </c>
      <c r="BJ10" s="9">
        <v>2076</v>
      </c>
      <c r="BK10" s="9">
        <v>2077</v>
      </c>
      <c r="BL10" s="9">
        <v>2078</v>
      </c>
      <c r="BM10" s="9">
        <v>2079</v>
      </c>
      <c r="BN10" s="9">
        <v>2080</v>
      </c>
      <c r="BO10" s="9">
        <v>2081</v>
      </c>
      <c r="BP10" s="9">
        <v>2082</v>
      </c>
      <c r="BQ10" s="9">
        <v>2083</v>
      </c>
      <c r="BR10" s="9">
        <v>2084</v>
      </c>
      <c r="BS10" s="9">
        <v>2085</v>
      </c>
      <c r="BT10" s="9">
        <v>2086</v>
      </c>
      <c r="BU10" s="9">
        <v>2087</v>
      </c>
      <c r="BV10" s="9">
        <v>2088</v>
      </c>
      <c r="BW10" s="9">
        <v>2089</v>
      </c>
      <c r="BX10" s="9">
        <v>2090</v>
      </c>
      <c r="BY10" s="9">
        <v>2091</v>
      </c>
      <c r="BZ10" s="9">
        <v>2092</v>
      </c>
      <c r="CA10" s="9">
        <v>2093</v>
      </c>
      <c r="CB10" s="9">
        <v>2094</v>
      </c>
      <c r="CC10" s="9">
        <v>2095</v>
      </c>
      <c r="CD10" s="9">
        <v>2096</v>
      </c>
      <c r="CE10" s="9">
        <v>2097</v>
      </c>
      <c r="CF10" s="9">
        <v>2098</v>
      </c>
      <c r="CG10" s="9">
        <v>2099</v>
      </c>
      <c r="CH10" s="9">
        <v>2100</v>
      </c>
    </row>
    <row r="11" spans="1:86" x14ac:dyDescent="0.25">
      <c r="A11" s="1"/>
      <c r="B11" s="1" t="s">
        <v>7</v>
      </c>
      <c r="C11" s="11">
        <v>41806</v>
      </c>
      <c r="D11" s="11">
        <v>48650</v>
      </c>
      <c r="E11" s="11">
        <v>153566</v>
      </c>
      <c r="F11" s="11">
        <v>160401</v>
      </c>
      <c r="G11" s="11">
        <v>174078</v>
      </c>
      <c r="H11" s="11">
        <v>180516</v>
      </c>
      <c r="I11" s="20">
        <f>H11*(1+I12)</f>
        <v>189050.00000000003</v>
      </c>
      <c r="J11" s="91">
        <f t="shared" ref="J11:R11" si="1">I11*(1+J12)</f>
        <v>230630.00000000003</v>
      </c>
      <c r="K11" s="91">
        <f t="shared" si="1"/>
        <v>245560.00000000003</v>
      </c>
      <c r="L11" s="91">
        <f t="shared" si="1"/>
        <v>251280</v>
      </c>
      <c r="M11" s="91">
        <f t="shared" si="1"/>
        <v>244540</v>
      </c>
      <c r="N11" s="91">
        <f t="shared" si="1"/>
        <v>243490</v>
      </c>
      <c r="O11" s="91">
        <f t="shared" si="1"/>
        <v>250790</v>
      </c>
      <c r="P11" s="91">
        <f t="shared" si="1"/>
        <v>255810</v>
      </c>
      <c r="Q11" s="91">
        <f t="shared" si="1"/>
        <v>260930.48407033773</v>
      </c>
      <c r="R11" s="91">
        <f t="shared" si="1"/>
        <v>266153.46357523464</v>
      </c>
    </row>
    <row r="12" spans="1:86" x14ac:dyDescent="0.25">
      <c r="A12" s="1"/>
      <c r="B12" s="71" t="s">
        <v>8</v>
      </c>
      <c r="C12" s="72"/>
      <c r="D12" s="72">
        <f>(D11/C11)-1</f>
        <v>0.16370855858010813</v>
      </c>
      <c r="E12" s="72">
        <f>(E11/D11)-1</f>
        <v>2.1565467625899282</v>
      </c>
      <c r="F12" s="72">
        <f>(F11/E11)-1</f>
        <v>4.4508550069676911E-2</v>
      </c>
      <c r="G12" s="72">
        <f>(G11/F11)-1</f>
        <v>8.5267548207305532E-2</v>
      </c>
      <c r="H12" s="72">
        <f>(H11/G11)-1</f>
        <v>3.6983421224968227E-2</v>
      </c>
      <c r="I12" s="81">
        <v>4.7275587759533888E-2</v>
      </c>
      <c r="J12" s="82">
        <v>0.21994181433483195</v>
      </c>
      <c r="K12" s="82">
        <v>6.4735723886744978E-2</v>
      </c>
      <c r="L12" s="82">
        <v>2.3293696041700507E-2</v>
      </c>
      <c r="M12" s="82">
        <v>-2.6822667940146427E-2</v>
      </c>
      <c r="N12" s="82">
        <v>-4.2937760693546601E-3</v>
      </c>
      <c r="O12" s="82">
        <v>2.9980697359234476E-2</v>
      </c>
      <c r="P12" s="82">
        <v>2.0016747079229624E-2</v>
      </c>
      <c r="Q12" s="82">
        <v>2.0016747079229624E-2</v>
      </c>
      <c r="R12" s="82">
        <v>2.0016747079229624E-2</v>
      </c>
    </row>
    <row r="13" spans="1:86" x14ac:dyDescent="0.25">
      <c r="A13" s="1"/>
      <c r="B13" s="6"/>
      <c r="C13" s="1"/>
      <c r="D13" s="1"/>
      <c r="E13" s="1"/>
      <c r="F13" s="1"/>
      <c r="G13" s="1"/>
      <c r="H13" s="1"/>
      <c r="I13" s="12"/>
      <c r="J13" s="92"/>
      <c r="K13" s="92"/>
      <c r="L13" s="92"/>
      <c r="M13" s="92"/>
      <c r="N13" s="92"/>
      <c r="O13" s="92"/>
      <c r="P13" s="92"/>
      <c r="Q13" s="92"/>
      <c r="R13" s="93"/>
    </row>
    <row r="14" spans="1:86" x14ac:dyDescent="0.25">
      <c r="A14" s="1"/>
      <c r="B14" s="1" t="s">
        <v>9</v>
      </c>
      <c r="C14" s="11">
        <v>27719</v>
      </c>
      <c r="D14" s="11">
        <v>32321</v>
      </c>
      <c r="E14" s="11">
        <v>128487</v>
      </c>
      <c r="F14" s="11">
        <v>136194</v>
      </c>
      <c r="G14" s="11">
        <v>151115</v>
      </c>
      <c r="H14" s="35">
        <v>157040</v>
      </c>
      <c r="I14" s="65">
        <f>I11-I16</f>
        <v>164681.45500000002</v>
      </c>
      <c r="J14" s="63">
        <f t="shared" ref="J14:K14" si="2">J11-J16</f>
        <v>200901.79300000003</v>
      </c>
      <c r="K14" s="63">
        <f t="shared" si="2"/>
        <v>213907.31600000002</v>
      </c>
      <c r="L14" s="63">
        <f t="shared" ref="L14:R14" si="3">L11-L16</f>
        <v>218890.008</v>
      </c>
      <c r="M14" s="63">
        <f t="shared" si="3"/>
        <v>213018.79399999999</v>
      </c>
      <c r="N14" s="63">
        <f t="shared" si="3"/>
        <v>212104.139</v>
      </c>
      <c r="O14" s="63">
        <f t="shared" si="3"/>
        <v>218463.16899999999</v>
      </c>
      <c r="P14" s="63">
        <f t="shared" si="3"/>
        <v>222836.09100000001</v>
      </c>
      <c r="Q14" s="63">
        <f t="shared" si="3"/>
        <v>227296.54467367119</v>
      </c>
      <c r="R14" s="63">
        <f t="shared" si="3"/>
        <v>231846.2821203869</v>
      </c>
    </row>
    <row r="15" spans="1:86" x14ac:dyDescent="0.25">
      <c r="A15" s="1"/>
      <c r="B15" s="17"/>
      <c r="C15" s="17"/>
      <c r="D15" s="17"/>
      <c r="E15" s="17"/>
      <c r="F15" s="17"/>
      <c r="G15" s="17"/>
      <c r="H15" s="17"/>
      <c r="I15" s="12"/>
      <c r="J15" s="92"/>
      <c r="K15" s="92"/>
      <c r="L15" s="92"/>
      <c r="M15" s="92"/>
      <c r="N15" s="92"/>
      <c r="O15" s="92"/>
      <c r="P15" s="92"/>
      <c r="Q15" s="92"/>
      <c r="R15" s="93"/>
    </row>
    <row r="16" spans="1:86" x14ac:dyDescent="0.25">
      <c r="A16" s="1"/>
      <c r="B16" s="1" t="s">
        <v>10</v>
      </c>
      <c r="C16" s="11">
        <f t="shared" ref="C16:H16" si="4">C11-C14</f>
        <v>14087</v>
      </c>
      <c r="D16" s="11">
        <f t="shared" si="4"/>
        <v>16329</v>
      </c>
      <c r="E16" s="11">
        <f t="shared" si="4"/>
        <v>25079</v>
      </c>
      <c r="F16" s="11">
        <f t="shared" si="4"/>
        <v>24207</v>
      </c>
      <c r="G16" s="11">
        <f t="shared" si="4"/>
        <v>22963</v>
      </c>
      <c r="H16" s="11">
        <f t="shared" si="4"/>
        <v>23476</v>
      </c>
      <c r="I16" s="20">
        <f>I11*I17</f>
        <v>24368.545000000002</v>
      </c>
      <c r="J16" s="91">
        <f t="shared" ref="J16:R16" si="5">J11*J17</f>
        <v>29728.207000000002</v>
      </c>
      <c r="K16" s="91">
        <f t="shared" si="5"/>
        <v>31652.684000000001</v>
      </c>
      <c r="L16" s="91">
        <f t="shared" si="5"/>
        <v>32389.991999999998</v>
      </c>
      <c r="M16" s="91">
        <f t="shared" si="5"/>
        <v>31521.205999999998</v>
      </c>
      <c r="N16" s="91">
        <f t="shared" si="5"/>
        <v>31385.860999999997</v>
      </c>
      <c r="O16" s="91">
        <f t="shared" si="5"/>
        <v>32326.830999999998</v>
      </c>
      <c r="P16" s="91">
        <f t="shared" si="5"/>
        <v>32973.909</v>
      </c>
      <c r="Q16" s="91">
        <f t="shared" si="5"/>
        <v>33633.93939666653</v>
      </c>
      <c r="R16" s="91">
        <f t="shared" si="5"/>
        <v>34307.181454847741</v>
      </c>
    </row>
    <row r="17" spans="1:18" x14ac:dyDescent="0.25">
      <c r="A17" s="1"/>
      <c r="B17" s="71" t="s">
        <v>11</v>
      </c>
      <c r="C17" s="72">
        <f t="shared" ref="C17:H17" si="6">C16/C11</f>
        <v>0.33696120174137684</v>
      </c>
      <c r="D17" s="72">
        <f t="shared" si="6"/>
        <v>0.33564234326824255</v>
      </c>
      <c r="E17" s="72">
        <f t="shared" si="6"/>
        <v>0.1633108891291041</v>
      </c>
      <c r="F17" s="72">
        <f t="shared" si="6"/>
        <v>0.15091551798305497</v>
      </c>
      <c r="G17" s="72">
        <f t="shared" si="6"/>
        <v>0.13191213134342075</v>
      </c>
      <c r="H17" s="72">
        <f t="shared" si="6"/>
        <v>0.13004941390236877</v>
      </c>
      <c r="I17" s="80">
        <v>0.12889999999999999</v>
      </c>
      <c r="J17" s="94">
        <v>0.12889999999999999</v>
      </c>
      <c r="K17" s="94">
        <v>0.12889999999999999</v>
      </c>
      <c r="L17" s="94">
        <v>0.12889999999999999</v>
      </c>
      <c r="M17" s="94">
        <v>0.12889999999999999</v>
      </c>
      <c r="N17" s="94">
        <v>0.12889999999999999</v>
      </c>
      <c r="O17" s="94">
        <v>0.12889999999999999</v>
      </c>
      <c r="P17" s="94">
        <v>0.12889999999999999</v>
      </c>
      <c r="Q17" s="94">
        <v>0.12889999999999999</v>
      </c>
      <c r="R17" s="94">
        <v>0.12889999999999999</v>
      </c>
    </row>
    <row r="18" spans="1:18" x14ac:dyDescent="0.25">
      <c r="A18" s="1"/>
      <c r="B18" s="6"/>
      <c r="C18" s="1"/>
      <c r="D18" s="1"/>
      <c r="E18" s="1"/>
      <c r="F18" s="1"/>
      <c r="G18" s="1"/>
      <c r="H18" s="1"/>
      <c r="I18" s="12"/>
      <c r="J18" s="92"/>
      <c r="K18" s="92"/>
      <c r="L18" s="92"/>
      <c r="M18" s="92"/>
      <c r="N18" s="92"/>
      <c r="O18" s="92"/>
      <c r="P18" s="92"/>
      <c r="Q18" s="92"/>
      <c r="R18" s="93"/>
    </row>
    <row r="19" spans="1:18" x14ac:dyDescent="0.25">
      <c r="A19" s="1"/>
      <c r="B19" s="1" t="s">
        <v>53</v>
      </c>
      <c r="C19" s="11">
        <v>10030</v>
      </c>
      <c r="D19" s="11">
        <v>11934</v>
      </c>
      <c r="E19" s="11">
        <v>14053</v>
      </c>
      <c r="F19" s="11">
        <v>14072</v>
      </c>
      <c r="G19" s="11">
        <v>13030</v>
      </c>
      <c r="H19" s="11">
        <v>13186</v>
      </c>
      <c r="I19" s="20">
        <f>I20*I11</f>
        <v>13800.650000000001</v>
      </c>
      <c r="J19" s="91">
        <f t="shared" ref="J19:R19" si="7">J20*J11</f>
        <v>17989.140000000003</v>
      </c>
      <c r="K19" s="91">
        <f t="shared" si="7"/>
        <v>19399.240000000002</v>
      </c>
      <c r="L19" s="91">
        <f t="shared" si="7"/>
        <v>20102.400000000001</v>
      </c>
      <c r="M19" s="91">
        <f t="shared" si="7"/>
        <v>18707.310000000001</v>
      </c>
      <c r="N19" s="91">
        <f t="shared" si="7"/>
        <v>19113.965</v>
      </c>
      <c r="O19" s="91">
        <f t="shared" si="7"/>
        <v>19812.41</v>
      </c>
      <c r="P19" s="91">
        <f t="shared" si="7"/>
        <v>20208.990000000002</v>
      </c>
      <c r="Q19" s="91">
        <f t="shared" si="7"/>
        <v>20613.508241556679</v>
      </c>
      <c r="R19" s="91">
        <f t="shared" si="7"/>
        <v>21026.123622443538</v>
      </c>
    </row>
    <row r="20" spans="1:18" x14ac:dyDescent="0.25">
      <c r="A20" s="1"/>
      <c r="B20" s="71" t="s">
        <v>17</v>
      </c>
      <c r="C20" s="72">
        <f t="shared" ref="C20:H20" si="8">C19/C11</f>
        <v>0.23991771516050328</v>
      </c>
      <c r="D20" s="72">
        <f t="shared" si="8"/>
        <v>0.24530318602261048</v>
      </c>
      <c r="E20" s="72">
        <f t="shared" si="8"/>
        <v>9.1511141789198128E-2</v>
      </c>
      <c r="F20" s="72">
        <f t="shared" si="8"/>
        <v>8.7730126370783229E-2</v>
      </c>
      <c r="G20" s="72">
        <f t="shared" si="8"/>
        <v>7.4851503349073409E-2</v>
      </c>
      <c r="H20" s="72">
        <f t="shared" si="8"/>
        <v>7.304615657337854E-2</v>
      </c>
      <c r="I20" s="83">
        <v>7.2999999999999995E-2</v>
      </c>
      <c r="J20" s="84">
        <v>7.8E-2</v>
      </c>
      <c r="K20" s="84">
        <v>7.9000000000000001E-2</v>
      </c>
      <c r="L20" s="84">
        <v>0.08</v>
      </c>
      <c r="M20" s="84">
        <v>7.6499999999999999E-2</v>
      </c>
      <c r="N20" s="84">
        <v>7.85E-2</v>
      </c>
      <c r="O20" s="84">
        <v>7.9000000000000001E-2</v>
      </c>
      <c r="P20" s="84">
        <v>7.9000000000000001E-2</v>
      </c>
      <c r="Q20" s="84">
        <v>7.9000000000000001E-2</v>
      </c>
      <c r="R20" s="84">
        <v>7.9000000000000001E-2</v>
      </c>
    </row>
    <row r="21" spans="1:18" x14ac:dyDescent="0.25">
      <c r="A21" s="1"/>
      <c r="B21" s="13"/>
      <c r="C21" s="79"/>
      <c r="D21" s="79"/>
      <c r="E21" s="79"/>
      <c r="F21" s="79"/>
      <c r="G21" s="79"/>
      <c r="H21" s="79"/>
      <c r="I21" s="20"/>
      <c r="J21" s="91"/>
      <c r="K21" s="91"/>
      <c r="L21" s="91"/>
      <c r="M21" s="91"/>
      <c r="N21" s="91"/>
      <c r="O21" s="91"/>
      <c r="P21" s="91"/>
      <c r="Q21" s="91"/>
      <c r="R21" s="91"/>
    </row>
    <row r="22" spans="1:18" x14ac:dyDescent="0.25">
      <c r="A22" s="1"/>
      <c r="B22" s="1" t="s">
        <v>52</v>
      </c>
      <c r="C22" s="11">
        <v>115</v>
      </c>
      <c r="D22" s="11">
        <v>235</v>
      </c>
      <c r="E22" s="11">
        <v>2949</v>
      </c>
      <c r="F22" s="11">
        <v>1982</v>
      </c>
      <c r="G22" s="11">
        <v>1998</v>
      </c>
      <c r="H22" s="11">
        <v>1876</v>
      </c>
      <c r="I22" s="20">
        <f>I23*I11</f>
        <v>2079.5500000000002</v>
      </c>
      <c r="J22" s="91">
        <f t="shared" ref="J22:R22" si="9">J23*J11</f>
        <v>2536.9300000000003</v>
      </c>
      <c r="K22" s="91">
        <f t="shared" si="9"/>
        <v>2701.1600000000003</v>
      </c>
      <c r="L22" s="91">
        <f t="shared" si="9"/>
        <v>2764.08</v>
      </c>
      <c r="M22" s="91">
        <f t="shared" si="9"/>
        <v>2689.94</v>
      </c>
      <c r="N22" s="91">
        <f t="shared" si="9"/>
        <v>2678.39</v>
      </c>
      <c r="O22" s="91">
        <f t="shared" si="9"/>
        <v>2758.69</v>
      </c>
      <c r="P22" s="91">
        <f t="shared" si="9"/>
        <v>2813.91</v>
      </c>
      <c r="Q22" s="91">
        <f t="shared" si="9"/>
        <v>2870.2353247737146</v>
      </c>
      <c r="R22" s="91">
        <f t="shared" si="9"/>
        <v>2927.6880993275809</v>
      </c>
    </row>
    <row r="23" spans="1:18" x14ac:dyDescent="0.25">
      <c r="A23" s="1"/>
      <c r="B23" s="71" t="s">
        <v>17</v>
      </c>
      <c r="C23" s="72">
        <f t="shared" ref="C23:H23" si="10">C22/C11</f>
        <v>2.750801320384634E-3</v>
      </c>
      <c r="D23" s="72">
        <f t="shared" si="10"/>
        <v>4.8304213771839669E-3</v>
      </c>
      <c r="E23" s="72">
        <f t="shared" si="10"/>
        <v>1.9203469517992264E-2</v>
      </c>
      <c r="F23" s="72">
        <f t="shared" si="10"/>
        <v>1.2356531443070804E-2</v>
      </c>
      <c r="G23" s="72">
        <f t="shared" si="10"/>
        <v>1.1477613483610795E-2</v>
      </c>
      <c r="H23" s="72">
        <f t="shared" si="10"/>
        <v>1.0392430587870326E-2</v>
      </c>
      <c r="I23" s="83">
        <v>1.0999999999999999E-2</v>
      </c>
      <c r="J23" s="84">
        <v>1.0999999999999999E-2</v>
      </c>
      <c r="K23" s="84">
        <v>1.0999999999999999E-2</v>
      </c>
      <c r="L23" s="84">
        <v>1.0999999999999999E-2</v>
      </c>
      <c r="M23" s="84">
        <v>1.0999999999999999E-2</v>
      </c>
      <c r="N23" s="84">
        <v>1.0999999999999999E-2</v>
      </c>
      <c r="O23" s="84">
        <v>1.0999999999999999E-2</v>
      </c>
      <c r="P23" s="84">
        <v>1.0999999999999999E-2</v>
      </c>
      <c r="Q23" s="84">
        <v>1.0999999999999999E-2</v>
      </c>
      <c r="R23" s="84">
        <v>1.0999999999999999E-2</v>
      </c>
    </row>
    <row r="24" spans="1:18" x14ac:dyDescent="0.25">
      <c r="A24" s="1"/>
      <c r="B24" s="13"/>
      <c r="C24" s="11"/>
      <c r="D24" s="11"/>
      <c r="E24" s="11"/>
      <c r="F24" s="11"/>
      <c r="G24" s="11"/>
      <c r="H24" s="11"/>
      <c r="I24" s="66"/>
      <c r="J24" s="95"/>
      <c r="K24" s="95"/>
      <c r="L24" s="95"/>
      <c r="M24" s="95"/>
      <c r="N24" s="95"/>
      <c r="O24" s="95"/>
      <c r="P24" s="95"/>
      <c r="Q24" s="95"/>
      <c r="R24" s="95"/>
    </row>
    <row r="25" spans="1:18" x14ac:dyDescent="0.25">
      <c r="A25" s="1"/>
      <c r="B25" s="1" t="s">
        <v>12</v>
      </c>
      <c r="C25" s="11">
        <f t="shared" ref="C25:H25" si="11">C19+C22</f>
        <v>10145</v>
      </c>
      <c r="D25" s="11">
        <f t="shared" si="11"/>
        <v>12169</v>
      </c>
      <c r="E25" s="11">
        <f t="shared" si="11"/>
        <v>17002</v>
      </c>
      <c r="F25" s="11">
        <f t="shared" si="11"/>
        <v>16054</v>
      </c>
      <c r="G25" s="11">
        <f t="shared" si="11"/>
        <v>15028</v>
      </c>
      <c r="H25" s="11">
        <f t="shared" si="11"/>
        <v>15062</v>
      </c>
      <c r="I25" s="66">
        <f t="shared" ref="I25:R25" si="12">I19+I22</f>
        <v>15880.2</v>
      </c>
      <c r="J25" s="95">
        <f t="shared" si="12"/>
        <v>20526.070000000003</v>
      </c>
      <c r="K25" s="95">
        <f t="shared" si="12"/>
        <v>22100.400000000001</v>
      </c>
      <c r="L25" s="95">
        <f t="shared" si="12"/>
        <v>22866.480000000003</v>
      </c>
      <c r="M25" s="95">
        <f t="shared" si="12"/>
        <v>21397.25</v>
      </c>
      <c r="N25" s="95">
        <f t="shared" si="12"/>
        <v>21792.355</v>
      </c>
      <c r="O25" s="95">
        <f t="shared" si="12"/>
        <v>22571.1</v>
      </c>
      <c r="P25" s="95">
        <f t="shared" si="12"/>
        <v>23022.9</v>
      </c>
      <c r="Q25" s="95">
        <f t="shared" si="12"/>
        <v>23483.743566330395</v>
      </c>
      <c r="R25" s="95">
        <f t="shared" si="12"/>
        <v>23953.811721771119</v>
      </c>
    </row>
    <row r="26" spans="1:18" x14ac:dyDescent="0.25">
      <c r="A26" s="1"/>
      <c r="B26" s="71" t="s">
        <v>17</v>
      </c>
      <c r="C26" s="72">
        <f t="shared" ref="C26:R26" si="13">C25/C11</f>
        <v>0.24266851648088791</v>
      </c>
      <c r="D26" s="72">
        <f t="shared" si="13"/>
        <v>0.25013360739979446</v>
      </c>
      <c r="E26" s="72">
        <f t="shared" si="13"/>
        <v>0.11071461130719039</v>
      </c>
      <c r="F26" s="72">
        <f t="shared" si="13"/>
        <v>0.10008665781385404</v>
      </c>
      <c r="G26" s="72">
        <f t="shared" si="13"/>
        <v>8.6329116832684197E-2</v>
      </c>
      <c r="H26" s="72">
        <f t="shared" si="13"/>
        <v>8.343858716124887E-2</v>
      </c>
      <c r="I26" s="83">
        <f t="shared" si="13"/>
        <v>8.3999999999999991E-2</v>
      </c>
      <c r="J26" s="84">
        <f t="shared" si="13"/>
        <v>8.900000000000001E-2</v>
      </c>
      <c r="K26" s="84">
        <f t="shared" si="13"/>
        <v>0.09</v>
      </c>
      <c r="L26" s="84">
        <f t="shared" si="13"/>
        <v>9.1000000000000011E-2</v>
      </c>
      <c r="M26" s="84">
        <f t="shared" si="13"/>
        <v>8.7499999999999994E-2</v>
      </c>
      <c r="N26" s="84">
        <f t="shared" si="13"/>
        <v>8.9499999999999996E-2</v>
      </c>
      <c r="O26" s="84">
        <f t="shared" si="13"/>
        <v>0.09</v>
      </c>
      <c r="P26" s="84">
        <f t="shared" si="13"/>
        <v>9.0000000000000011E-2</v>
      </c>
      <c r="Q26" s="84">
        <f t="shared" si="13"/>
        <v>0.09</v>
      </c>
      <c r="R26" s="84">
        <f t="shared" si="13"/>
        <v>9.0000000000000011E-2</v>
      </c>
    </row>
    <row r="27" spans="1:18" x14ac:dyDescent="0.25">
      <c r="A27" s="1"/>
      <c r="B27" s="1"/>
      <c r="C27" s="74"/>
      <c r="D27" s="74"/>
      <c r="E27" s="74"/>
      <c r="F27" s="14"/>
      <c r="G27" s="14"/>
      <c r="H27" s="14"/>
      <c r="I27" s="19"/>
      <c r="J27" s="50"/>
      <c r="K27" s="50"/>
      <c r="L27" s="50"/>
      <c r="M27" s="50"/>
      <c r="N27" s="50"/>
      <c r="O27" s="50"/>
      <c r="P27" s="50"/>
      <c r="Q27" s="50"/>
      <c r="R27" s="50"/>
    </row>
    <row r="28" spans="1:18" x14ac:dyDescent="0.25">
      <c r="A28" s="1"/>
      <c r="B28" s="1" t="s">
        <v>13</v>
      </c>
      <c r="C28" s="11">
        <f t="shared" ref="C28:R28" si="14">C16-C25</f>
        <v>3942</v>
      </c>
      <c r="D28" s="11">
        <f t="shared" si="14"/>
        <v>4160</v>
      </c>
      <c r="E28" s="11">
        <f t="shared" si="14"/>
        <v>8077</v>
      </c>
      <c r="F28" s="11">
        <f t="shared" si="14"/>
        <v>8153</v>
      </c>
      <c r="G28" s="11">
        <f t="shared" si="14"/>
        <v>7935</v>
      </c>
      <c r="H28" s="11">
        <f t="shared" si="14"/>
        <v>8414</v>
      </c>
      <c r="I28" s="66">
        <f t="shared" si="14"/>
        <v>8488.3450000000012</v>
      </c>
      <c r="J28" s="95">
        <f t="shared" si="14"/>
        <v>9202.1369999999988</v>
      </c>
      <c r="K28" s="95">
        <f t="shared" si="14"/>
        <v>9552.2839999999997</v>
      </c>
      <c r="L28" s="95">
        <f t="shared" si="14"/>
        <v>9523.5119999999952</v>
      </c>
      <c r="M28" s="95">
        <f t="shared" si="14"/>
        <v>10123.955999999998</v>
      </c>
      <c r="N28" s="95">
        <f t="shared" si="14"/>
        <v>9593.5059999999976</v>
      </c>
      <c r="O28" s="95">
        <f t="shared" si="14"/>
        <v>9755.7309999999998</v>
      </c>
      <c r="P28" s="95">
        <f t="shared" si="14"/>
        <v>9951.0089999999982</v>
      </c>
      <c r="Q28" s="95">
        <f t="shared" si="14"/>
        <v>10150.195830336135</v>
      </c>
      <c r="R28" s="95">
        <f t="shared" si="14"/>
        <v>10353.369733076623</v>
      </c>
    </row>
    <row r="29" spans="1:18" x14ac:dyDescent="0.25">
      <c r="A29" s="1"/>
      <c r="B29" s="1" t="s">
        <v>14</v>
      </c>
      <c r="C29" s="74">
        <v>-336</v>
      </c>
      <c r="D29" s="74">
        <v>-579</v>
      </c>
      <c r="E29" s="74">
        <v>-1507</v>
      </c>
      <c r="F29" s="74">
        <v>2715</v>
      </c>
      <c r="G29" s="74">
        <v>-1153</v>
      </c>
      <c r="H29" s="74">
        <v>-61</v>
      </c>
      <c r="I29" s="78">
        <f>I30*I11</f>
        <v>-623.45191045850891</v>
      </c>
      <c r="J29" s="96">
        <f t="shared" ref="J29:R29" si="15">J30*J11</f>
        <v>-578.40391803966554</v>
      </c>
      <c r="K29" s="96">
        <f t="shared" si="15"/>
        <v>-231.40651904655243</v>
      </c>
      <c r="L29" s="96">
        <f t="shared" si="15"/>
        <v>134.72097090076863</v>
      </c>
      <c r="M29" s="96">
        <f t="shared" si="15"/>
        <v>-536.90209652098008</v>
      </c>
      <c r="N29" s="96">
        <f t="shared" si="15"/>
        <v>-354.90486302305976</v>
      </c>
      <c r="O29" s="96">
        <f t="shared" si="15"/>
        <v>-412.34485085883</v>
      </c>
      <c r="P29" s="96">
        <f t="shared" si="15"/>
        <v>-350.09608994611602</v>
      </c>
      <c r="Q29" s="96">
        <f t="shared" si="15"/>
        <v>-307.55528497683918</v>
      </c>
      <c r="R29" s="96">
        <f t="shared" si="15"/>
        <v>-324.19462730309618</v>
      </c>
    </row>
    <row r="30" spans="1:18" x14ac:dyDescent="0.25">
      <c r="A30" s="1"/>
      <c r="B30" s="1" t="s">
        <v>17</v>
      </c>
      <c r="C30" s="88">
        <f t="shared" ref="C30:H30" si="16">C29/C11</f>
        <v>-8.0371238578194511E-3</v>
      </c>
      <c r="D30" s="88">
        <f t="shared" si="16"/>
        <v>-1.1901336073997945E-2</v>
      </c>
      <c r="E30" s="88">
        <f t="shared" si="16"/>
        <v>-9.8133701470377553E-3</v>
      </c>
      <c r="F30" s="88">
        <f t="shared" si="16"/>
        <v>1.6926328389473881E-2</v>
      </c>
      <c r="G30" s="88">
        <f t="shared" si="16"/>
        <v>-6.6234676409425656E-3</v>
      </c>
      <c r="H30" s="88">
        <f t="shared" si="16"/>
        <v>-3.3792018436038911E-4</v>
      </c>
      <c r="I30" s="19">
        <f>AVERAGE(C30:H30)</f>
        <v>-3.2978149191140375E-3</v>
      </c>
      <c r="J30" s="50">
        <f t="shared" ref="J30:R30" si="17">AVERAGE(D30:I30)</f>
        <v>-2.5079300959964684E-3</v>
      </c>
      <c r="K30" s="50">
        <f t="shared" si="17"/>
        <v>-9.4236243299622251E-4</v>
      </c>
      <c r="L30" s="50">
        <f t="shared" si="17"/>
        <v>5.3613885267736645E-4</v>
      </c>
      <c r="M30" s="50">
        <f t="shared" si="17"/>
        <v>-2.195559403455386E-3</v>
      </c>
      <c r="N30" s="50">
        <f t="shared" si="17"/>
        <v>-1.4575746972075229E-3</v>
      </c>
      <c r="O30" s="50">
        <f t="shared" si="17"/>
        <v>-1.6441837826820448E-3</v>
      </c>
      <c r="P30" s="50">
        <f t="shared" si="17"/>
        <v>-1.3685785932767132E-3</v>
      </c>
      <c r="Q30" s="50">
        <f t="shared" si="17"/>
        <v>-1.1786866761567538E-3</v>
      </c>
      <c r="R30" s="50">
        <f t="shared" si="17"/>
        <v>-1.2180740500168424E-3</v>
      </c>
    </row>
    <row r="31" spans="1:18" x14ac:dyDescent="0.25">
      <c r="A31" s="1"/>
      <c r="B31" s="13"/>
      <c r="C31" s="21"/>
      <c r="D31" s="21"/>
      <c r="E31" s="21"/>
      <c r="F31" s="21"/>
      <c r="G31" s="21"/>
      <c r="H31" s="21"/>
      <c r="I31" s="76"/>
      <c r="J31" s="93"/>
      <c r="K31" s="93"/>
      <c r="L31" s="93"/>
      <c r="M31" s="93"/>
      <c r="N31" s="93"/>
      <c r="O31" s="93"/>
      <c r="P31" s="93"/>
      <c r="Q31" s="93"/>
      <c r="R31" s="93"/>
    </row>
    <row r="32" spans="1:18" x14ac:dyDescent="0.25">
      <c r="A32" s="1"/>
      <c r="B32" s="1" t="s">
        <v>15</v>
      </c>
      <c r="C32" s="11">
        <f t="shared" ref="C32:H32" si="18">C28+C29</f>
        <v>3606</v>
      </c>
      <c r="D32" s="11">
        <f t="shared" si="18"/>
        <v>3581</v>
      </c>
      <c r="E32" s="11">
        <f t="shared" si="18"/>
        <v>6570</v>
      </c>
      <c r="F32" s="11">
        <f t="shared" si="18"/>
        <v>10868</v>
      </c>
      <c r="G32" s="11">
        <f t="shared" si="18"/>
        <v>6782</v>
      </c>
      <c r="H32" s="11">
        <f t="shared" si="18"/>
        <v>8353</v>
      </c>
      <c r="I32" s="66">
        <f t="shared" ref="I32:R32" si="19">I28+I29</f>
        <v>7864.8930895414924</v>
      </c>
      <c r="J32" s="95">
        <f t="shared" si="19"/>
        <v>8623.7330819603339</v>
      </c>
      <c r="K32" s="95">
        <f t="shared" si="19"/>
        <v>9320.877480953448</v>
      </c>
      <c r="L32" s="95">
        <f t="shared" si="19"/>
        <v>9658.2329709007645</v>
      </c>
      <c r="M32" s="95">
        <f t="shared" si="19"/>
        <v>9587.0539034790181</v>
      </c>
      <c r="N32" s="95">
        <f t="shared" si="19"/>
        <v>9238.6011369769385</v>
      </c>
      <c r="O32" s="95">
        <f t="shared" si="19"/>
        <v>9343.3861491411699</v>
      </c>
      <c r="P32" s="95">
        <f t="shared" si="19"/>
        <v>9600.912910053883</v>
      </c>
      <c r="Q32" s="95">
        <f t="shared" si="19"/>
        <v>9842.6405453592961</v>
      </c>
      <c r="R32" s="95">
        <f t="shared" si="19"/>
        <v>10029.175105773527</v>
      </c>
    </row>
    <row r="33" spans="1:86" x14ac:dyDescent="0.25">
      <c r="A33" s="1"/>
      <c r="B33" s="1"/>
      <c r="C33" s="21"/>
      <c r="D33" s="21"/>
      <c r="E33" s="21"/>
      <c r="F33" s="21"/>
      <c r="G33" s="21"/>
      <c r="H33" s="21"/>
      <c r="I33" s="12"/>
      <c r="J33" s="92"/>
      <c r="K33" s="92"/>
      <c r="L33" s="92"/>
      <c r="M33" s="92"/>
      <c r="N33" s="92"/>
      <c r="O33" s="92"/>
      <c r="P33" s="92"/>
      <c r="Q33" s="92"/>
      <c r="R33" s="93"/>
    </row>
    <row r="34" spans="1:86" x14ac:dyDescent="0.25">
      <c r="A34" s="1"/>
      <c r="B34" s="1" t="s">
        <v>16</v>
      </c>
      <c r="C34" s="11">
        <f t="shared" ref="C34:I34" si="20">C28</f>
        <v>3942</v>
      </c>
      <c r="D34" s="11">
        <f t="shared" si="20"/>
        <v>4160</v>
      </c>
      <c r="E34" s="11">
        <f t="shared" si="20"/>
        <v>8077</v>
      </c>
      <c r="F34" s="11">
        <f t="shared" si="20"/>
        <v>8153</v>
      </c>
      <c r="G34" s="11">
        <f t="shared" si="20"/>
        <v>7935</v>
      </c>
      <c r="H34" s="11">
        <f t="shared" si="20"/>
        <v>8414</v>
      </c>
      <c r="I34" s="66">
        <f t="shared" si="20"/>
        <v>8488.3450000000012</v>
      </c>
      <c r="J34" s="95">
        <f t="shared" ref="J34:R34" si="21">J28</f>
        <v>9202.1369999999988</v>
      </c>
      <c r="K34" s="95">
        <f t="shared" si="21"/>
        <v>9552.2839999999997</v>
      </c>
      <c r="L34" s="95">
        <f t="shared" si="21"/>
        <v>9523.5119999999952</v>
      </c>
      <c r="M34" s="95">
        <f t="shared" si="21"/>
        <v>10123.955999999998</v>
      </c>
      <c r="N34" s="95">
        <f t="shared" si="21"/>
        <v>9593.5059999999976</v>
      </c>
      <c r="O34" s="95">
        <f t="shared" si="21"/>
        <v>9755.7309999999998</v>
      </c>
      <c r="P34" s="95">
        <f t="shared" si="21"/>
        <v>9951.0089999999982</v>
      </c>
      <c r="Q34" s="95">
        <f t="shared" si="21"/>
        <v>10150.195830336135</v>
      </c>
      <c r="R34" s="95">
        <f t="shared" si="21"/>
        <v>10353.369733076623</v>
      </c>
    </row>
    <row r="35" spans="1:86" x14ac:dyDescent="0.25">
      <c r="A35" s="1"/>
      <c r="B35" s="71" t="s">
        <v>17</v>
      </c>
      <c r="C35" s="72">
        <f t="shared" ref="C35:R35" si="22">C34/C11</f>
        <v>9.4292685260488923E-2</v>
      </c>
      <c r="D35" s="72">
        <f t="shared" si="22"/>
        <v>8.5508735868448094E-2</v>
      </c>
      <c r="E35" s="72">
        <f t="shared" si="22"/>
        <v>5.2596277821913708E-2</v>
      </c>
      <c r="F35" s="72">
        <f t="shared" si="22"/>
        <v>5.0828860169200941E-2</v>
      </c>
      <c r="G35" s="72">
        <f t="shared" si="22"/>
        <v>4.5583014510736569E-2</v>
      </c>
      <c r="H35" s="72">
        <f t="shared" si="22"/>
        <v>4.6610826741119903E-2</v>
      </c>
      <c r="I35" s="81">
        <f t="shared" si="22"/>
        <v>4.4900000000000002E-2</v>
      </c>
      <c r="J35" s="82">
        <f t="shared" si="22"/>
        <v>3.9899999999999991E-2</v>
      </c>
      <c r="K35" s="82">
        <f t="shared" si="22"/>
        <v>3.8899999999999997E-2</v>
      </c>
      <c r="L35" s="82">
        <f t="shared" si="22"/>
        <v>3.7899999999999982E-2</v>
      </c>
      <c r="M35" s="82">
        <f t="shared" si="22"/>
        <v>4.1399999999999992E-2</v>
      </c>
      <c r="N35" s="82">
        <f t="shared" si="22"/>
        <v>3.9399999999999991E-2</v>
      </c>
      <c r="O35" s="82">
        <f t="shared" si="22"/>
        <v>3.8899999999999997E-2</v>
      </c>
      <c r="P35" s="82">
        <f t="shared" si="22"/>
        <v>3.889999999999999E-2</v>
      </c>
      <c r="Q35" s="82">
        <f t="shared" si="22"/>
        <v>3.889999999999999E-2</v>
      </c>
      <c r="R35" s="82">
        <f t="shared" si="22"/>
        <v>3.8899999999999983E-2</v>
      </c>
    </row>
    <row r="36" spans="1:86" x14ac:dyDescent="0.25">
      <c r="A36" s="1"/>
      <c r="B36" s="13"/>
      <c r="C36" s="1"/>
      <c r="D36" s="1"/>
      <c r="E36" s="1"/>
      <c r="G36" s="1"/>
      <c r="H36" s="1"/>
      <c r="I36" s="12"/>
      <c r="J36" s="92"/>
      <c r="K36" s="92"/>
      <c r="L36" s="92"/>
      <c r="M36" s="92"/>
      <c r="N36" s="92"/>
      <c r="O36" s="93"/>
      <c r="P36" s="93"/>
      <c r="Q36" s="93"/>
      <c r="R36" s="93"/>
    </row>
    <row r="37" spans="1:86" x14ac:dyDescent="0.25">
      <c r="A37" s="1"/>
      <c r="B37" s="1" t="s">
        <v>18</v>
      </c>
      <c r="C37" s="18">
        <v>1374</v>
      </c>
      <c r="D37" s="11">
        <v>935</v>
      </c>
      <c r="E37" s="11">
        <v>1450</v>
      </c>
      <c r="F37" s="22">
        <v>2379</v>
      </c>
      <c r="G37" s="11">
        <v>1367</v>
      </c>
      <c r="H37" s="11">
        <v>1607</v>
      </c>
      <c r="I37" s="20">
        <f>I38*I34</f>
        <v>1806.3198160000002</v>
      </c>
      <c r="J37" s="91">
        <f t="shared" ref="J37:R37" si="23">J38*J34</f>
        <v>1958.2147535999995</v>
      </c>
      <c r="K37" s="91">
        <f t="shared" si="23"/>
        <v>2032.7260351999998</v>
      </c>
      <c r="L37" s="91">
        <f t="shared" si="23"/>
        <v>2026.6033535999989</v>
      </c>
      <c r="M37" s="91">
        <f t="shared" si="23"/>
        <v>2154.3778367999994</v>
      </c>
      <c r="N37" s="91">
        <f t="shared" si="23"/>
        <v>2041.4980767999994</v>
      </c>
      <c r="O37" s="91">
        <f t="shared" si="23"/>
        <v>2076.0195567999999</v>
      </c>
      <c r="P37" s="91">
        <f t="shared" si="23"/>
        <v>2117.5747151999994</v>
      </c>
      <c r="Q37" s="91">
        <f t="shared" si="23"/>
        <v>2159.9616726955296</v>
      </c>
      <c r="R37" s="91">
        <f t="shared" si="23"/>
        <v>2203.1970791987051</v>
      </c>
    </row>
    <row r="38" spans="1:86" x14ac:dyDescent="0.25">
      <c r="A38" s="1"/>
      <c r="B38" s="71" t="s">
        <v>19</v>
      </c>
      <c r="C38" s="73">
        <f t="shared" ref="C38:H38" si="24">C37/C34</f>
        <v>0.34855403348554032</v>
      </c>
      <c r="D38" s="73">
        <f t="shared" si="24"/>
        <v>0.22475961538461539</v>
      </c>
      <c r="E38" s="73">
        <f t="shared" si="24"/>
        <v>0.17952209978952582</v>
      </c>
      <c r="F38" s="73">
        <f t="shared" si="24"/>
        <v>0.29179443149760825</v>
      </c>
      <c r="G38" s="73">
        <f t="shared" si="24"/>
        <v>0.17227473219911782</v>
      </c>
      <c r="H38" s="73">
        <f t="shared" si="24"/>
        <v>0.19099120513429999</v>
      </c>
      <c r="I38" s="85">
        <v>0.21279999999999999</v>
      </c>
      <c r="J38" s="97">
        <v>0.21279999999999999</v>
      </c>
      <c r="K38" s="97">
        <v>0.21279999999999999</v>
      </c>
      <c r="L38" s="97">
        <v>0.21279999999999999</v>
      </c>
      <c r="M38" s="97">
        <v>0.21279999999999999</v>
      </c>
      <c r="N38" s="97">
        <v>0.21279999999999999</v>
      </c>
      <c r="O38" s="97">
        <v>0.21279999999999999</v>
      </c>
      <c r="P38" s="97">
        <v>0.21279999999999999</v>
      </c>
      <c r="Q38" s="97">
        <v>0.21279999999999999</v>
      </c>
      <c r="R38" s="97">
        <v>0.21279999999999999</v>
      </c>
    </row>
    <row r="39" spans="1:86" x14ac:dyDescent="0.25">
      <c r="A39" s="1"/>
      <c r="B39" s="1"/>
      <c r="C39" s="1"/>
      <c r="D39" s="1"/>
      <c r="E39" s="1"/>
      <c r="F39" s="1"/>
      <c r="G39" s="1"/>
      <c r="H39" s="1"/>
      <c r="I39" s="12"/>
      <c r="J39" s="92"/>
      <c r="K39" s="92"/>
      <c r="L39" s="92"/>
      <c r="M39" s="92"/>
      <c r="N39" s="92"/>
      <c r="O39" s="92"/>
      <c r="P39" s="92"/>
      <c r="Q39" s="92"/>
      <c r="R39" s="93"/>
    </row>
    <row r="40" spans="1:86" x14ac:dyDescent="0.25">
      <c r="A40" s="1"/>
      <c r="B40" s="9" t="s">
        <v>20</v>
      </c>
      <c r="C40" s="9">
        <v>2022</v>
      </c>
      <c r="D40" s="9">
        <v>2021</v>
      </c>
      <c r="E40" s="9">
        <v>2020</v>
      </c>
      <c r="F40" s="9">
        <f>E40+1</f>
        <v>2021</v>
      </c>
      <c r="G40" s="9">
        <f>F40+1</f>
        <v>2022</v>
      </c>
      <c r="H40" s="9">
        <v>2017</v>
      </c>
      <c r="I40" s="67">
        <v>2023</v>
      </c>
      <c r="J40" s="98">
        <v>2024</v>
      </c>
      <c r="K40" s="98">
        <v>2025</v>
      </c>
      <c r="L40" s="98">
        <v>2026</v>
      </c>
      <c r="M40" s="98">
        <v>2027</v>
      </c>
      <c r="N40" s="98">
        <v>2028</v>
      </c>
      <c r="O40" s="98">
        <v>2029</v>
      </c>
      <c r="P40" s="98">
        <v>2030</v>
      </c>
      <c r="Q40" s="98">
        <v>2031</v>
      </c>
      <c r="R40" s="98">
        <v>2032</v>
      </c>
      <c r="S40" s="9">
        <v>2033</v>
      </c>
      <c r="T40" s="9">
        <v>2034</v>
      </c>
      <c r="U40" s="9">
        <v>2035</v>
      </c>
      <c r="V40" s="9">
        <v>2036</v>
      </c>
      <c r="W40" s="9">
        <v>2037</v>
      </c>
      <c r="X40" s="9">
        <v>2038</v>
      </c>
      <c r="Y40" s="9">
        <v>2039</v>
      </c>
      <c r="Z40" s="9">
        <v>2040</v>
      </c>
      <c r="AA40" s="9">
        <v>2041</v>
      </c>
      <c r="AB40" s="9">
        <v>2042</v>
      </c>
      <c r="AC40" s="9">
        <v>2043</v>
      </c>
      <c r="AD40" s="9">
        <v>2044</v>
      </c>
      <c r="AE40" s="9">
        <v>2045</v>
      </c>
      <c r="AF40" s="9">
        <v>2046</v>
      </c>
      <c r="AG40" s="9">
        <v>2047</v>
      </c>
      <c r="AH40" s="9">
        <v>2048</v>
      </c>
      <c r="AI40" s="9">
        <v>2049</v>
      </c>
      <c r="AJ40" s="9">
        <v>2050</v>
      </c>
      <c r="AK40" s="9">
        <v>2051</v>
      </c>
      <c r="AL40" s="9">
        <v>2052</v>
      </c>
      <c r="AM40" s="9">
        <v>2053</v>
      </c>
      <c r="AN40" s="9">
        <v>2054</v>
      </c>
      <c r="AO40" s="9">
        <v>2055</v>
      </c>
      <c r="AP40" s="9">
        <v>2056</v>
      </c>
      <c r="AQ40" s="9">
        <v>2057</v>
      </c>
      <c r="AR40" s="9">
        <v>2058</v>
      </c>
      <c r="AS40" s="9">
        <v>2059</v>
      </c>
      <c r="AT40" s="9">
        <v>2060</v>
      </c>
      <c r="AU40" s="9">
        <v>2061</v>
      </c>
      <c r="AV40" s="9">
        <v>2062</v>
      </c>
      <c r="AW40" s="9">
        <v>2063</v>
      </c>
      <c r="AX40" s="9">
        <v>2064</v>
      </c>
      <c r="AY40" s="9">
        <v>2065</v>
      </c>
      <c r="AZ40" s="9">
        <v>2066</v>
      </c>
      <c r="BA40" s="9">
        <v>2067</v>
      </c>
      <c r="BB40" s="9">
        <v>2068</v>
      </c>
      <c r="BC40" s="9">
        <v>2069</v>
      </c>
      <c r="BD40" s="9">
        <v>2070</v>
      </c>
      <c r="BE40" s="9">
        <v>2071</v>
      </c>
      <c r="BF40" s="9">
        <v>2072</v>
      </c>
      <c r="BG40" s="9">
        <v>2073</v>
      </c>
      <c r="BH40" s="9">
        <v>2074</v>
      </c>
      <c r="BI40" s="9">
        <v>2075</v>
      </c>
      <c r="BJ40" s="9">
        <v>2076</v>
      </c>
      <c r="BK40" s="9">
        <v>2077</v>
      </c>
      <c r="BL40" s="9">
        <v>2078</v>
      </c>
      <c r="BM40" s="9">
        <v>2079</v>
      </c>
      <c r="BN40" s="9">
        <v>2080</v>
      </c>
      <c r="BO40" s="9">
        <v>2081</v>
      </c>
      <c r="BP40" s="9">
        <v>2082</v>
      </c>
      <c r="BQ40" s="9">
        <v>2083</v>
      </c>
      <c r="BR40" s="9">
        <v>2084</v>
      </c>
      <c r="BS40" s="9">
        <v>2085</v>
      </c>
      <c r="BT40" s="9">
        <v>2086</v>
      </c>
      <c r="BU40" s="9">
        <v>2087</v>
      </c>
      <c r="BV40" s="9">
        <v>2088</v>
      </c>
      <c r="BW40" s="9">
        <v>2089</v>
      </c>
      <c r="BX40" s="9">
        <v>2090</v>
      </c>
      <c r="BY40" s="9">
        <v>2091</v>
      </c>
      <c r="BZ40" s="9">
        <v>2092</v>
      </c>
      <c r="CA40" s="9">
        <v>2093</v>
      </c>
      <c r="CB40" s="9">
        <v>2094</v>
      </c>
      <c r="CC40" s="9">
        <v>2095</v>
      </c>
      <c r="CD40" s="9">
        <v>2096</v>
      </c>
      <c r="CE40" s="9">
        <v>2097</v>
      </c>
      <c r="CF40" s="9">
        <v>2098</v>
      </c>
      <c r="CG40" s="9">
        <v>2099</v>
      </c>
      <c r="CH40" s="9">
        <v>2100</v>
      </c>
    </row>
    <row r="41" spans="1:86" x14ac:dyDescent="0.25">
      <c r="A41" s="1"/>
      <c r="B41" s="1" t="s">
        <v>21</v>
      </c>
      <c r="C41" s="11">
        <v>566</v>
      </c>
      <c r="D41" s="11">
        <v>695</v>
      </c>
      <c r="E41" s="11">
        <v>3651</v>
      </c>
      <c r="F41" s="22">
        <v>2802</v>
      </c>
      <c r="G41" s="11">
        <v>2923</v>
      </c>
      <c r="H41" s="11">
        <v>2937</v>
      </c>
      <c r="I41" s="20">
        <f>I42*I11</f>
        <v>2920</v>
      </c>
      <c r="J41" s="91">
        <f t="shared" ref="J41:R41" si="25">J42*J11</f>
        <v>2910</v>
      </c>
      <c r="K41" s="91">
        <f t="shared" si="25"/>
        <v>2790</v>
      </c>
      <c r="L41" s="91">
        <f t="shared" si="25"/>
        <v>4049.9999999999995</v>
      </c>
      <c r="M41" s="91">
        <f t="shared" si="25"/>
        <v>4150</v>
      </c>
      <c r="N41" s="91">
        <f t="shared" si="25"/>
        <v>2350</v>
      </c>
      <c r="O41" s="91">
        <f t="shared" si="25"/>
        <v>2350</v>
      </c>
      <c r="P41" s="91">
        <f t="shared" si="25"/>
        <v>2360</v>
      </c>
      <c r="Q41" s="91">
        <f t="shared" si="25"/>
        <v>2407.2395231069822</v>
      </c>
      <c r="R41" s="91">
        <f t="shared" si="25"/>
        <v>2455.4246278001401</v>
      </c>
    </row>
    <row r="42" spans="1:86" x14ac:dyDescent="0.25">
      <c r="A42" s="1"/>
      <c r="B42" s="71" t="s">
        <v>17</v>
      </c>
      <c r="C42" s="72">
        <f t="shared" ref="C42:H42" si="26">C41/C11</f>
        <v>1.353872649858872E-2</v>
      </c>
      <c r="D42" s="72">
        <f t="shared" si="26"/>
        <v>1.4285714285714285E-2</v>
      </c>
      <c r="E42" s="72">
        <f t="shared" si="26"/>
        <v>2.3774793899691338E-2</v>
      </c>
      <c r="F42" s="72">
        <f t="shared" si="26"/>
        <v>1.7468719022948734E-2</v>
      </c>
      <c r="G42" s="72">
        <f t="shared" si="26"/>
        <v>1.6791323429726904E-2</v>
      </c>
      <c r="H42" s="72">
        <f t="shared" si="26"/>
        <v>1.6270025925679717E-2</v>
      </c>
      <c r="I42" s="86">
        <v>1.5445649299127213E-2</v>
      </c>
      <c r="J42" s="99">
        <v>1.2617612626284523E-2</v>
      </c>
      <c r="K42" s="99">
        <v>1.1361785307053264E-2</v>
      </c>
      <c r="L42" s="99">
        <v>1.6117478510028652E-2</v>
      </c>
      <c r="M42" s="99">
        <v>1.6970638750306698E-2</v>
      </c>
      <c r="N42" s="99">
        <v>9.6513203827672603E-3</v>
      </c>
      <c r="O42" s="99">
        <v>9.3703895689620804E-3</v>
      </c>
      <c r="P42" s="99">
        <v>9.2255971228646268E-3</v>
      </c>
      <c r="Q42" s="99">
        <v>9.2255971228646268E-3</v>
      </c>
      <c r="R42" s="99">
        <v>9.2255971228646268E-3</v>
      </c>
    </row>
    <row r="43" spans="1:86" x14ac:dyDescent="0.25">
      <c r="A43" s="1"/>
      <c r="B43" s="1"/>
      <c r="C43" s="1"/>
      <c r="D43" s="1"/>
      <c r="E43" s="1"/>
      <c r="G43" s="1"/>
      <c r="H43" s="1"/>
      <c r="I43" s="12"/>
      <c r="J43" s="92"/>
      <c r="K43" s="92"/>
      <c r="L43" s="92"/>
      <c r="M43" s="92"/>
      <c r="N43" s="92"/>
      <c r="O43" s="93"/>
      <c r="P43" s="93"/>
      <c r="Q43" s="93"/>
      <c r="R43" s="93"/>
    </row>
    <row r="44" spans="1:86" x14ac:dyDescent="0.25">
      <c r="A44" s="1"/>
      <c r="B44" s="1" t="s">
        <v>22</v>
      </c>
      <c r="C44" s="11">
        <v>-471</v>
      </c>
      <c r="D44" s="11">
        <v>-528</v>
      </c>
      <c r="E44" s="11">
        <v>-1050</v>
      </c>
      <c r="F44" s="22">
        <v>-1094</v>
      </c>
      <c r="G44" s="11">
        <v>-1154</v>
      </c>
      <c r="H44" s="11">
        <v>-1295</v>
      </c>
      <c r="I44" s="20">
        <f>I45*I11</f>
        <v>-1370</v>
      </c>
      <c r="J44" s="91">
        <f t="shared" ref="J44:R44" si="27">J45*J11</f>
        <v>-1610</v>
      </c>
      <c r="K44" s="91">
        <f t="shared" si="27"/>
        <v>-1660</v>
      </c>
      <c r="L44" s="91">
        <f t="shared" si="27"/>
        <v>-1880</v>
      </c>
      <c r="M44" s="91">
        <f t="shared" si="27"/>
        <v>-1989.9999999999998</v>
      </c>
      <c r="N44" s="91">
        <f t="shared" si="27"/>
        <v>-1900</v>
      </c>
      <c r="O44" s="91">
        <f t="shared" si="27"/>
        <v>-1980.0000000000002</v>
      </c>
      <c r="P44" s="91">
        <f t="shared" si="27"/>
        <v>-2060</v>
      </c>
      <c r="Q44" s="91">
        <f t="shared" si="27"/>
        <v>-2150</v>
      </c>
      <c r="R44" s="91">
        <f t="shared" si="27"/>
        <v>-2150</v>
      </c>
    </row>
    <row r="45" spans="1:86" x14ac:dyDescent="0.25">
      <c r="A45" s="1"/>
      <c r="B45" s="71" t="s">
        <v>17</v>
      </c>
      <c r="C45" s="72">
        <f t="shared" ref="C45:H45" si="28">C44/C11</f>
        <v>-1.1266325407836196E-2</v>
      </c>
      <c r="D45" s="72">
        <f t="shared" si="28"/>
        <v>-1.0853031860226105E-2</v>
      </c>
      <c r="E45" s="72">
        <f t="shared" si="28"/>
        <v>-6.8374509982678461E-3</v>
      </c>
      <c r="F45" s="72">
        <f t="shared" si="28"/>
        <v>-6.8204063565688493E-3</v>
      </c>
      <c r="G45" s="72">
        <f t="shared" si="28"/>
        <v>-6.6292121922356647E-3</v>
      </c>
      <c r="H45" s="72">
        <f t="shared" si="28"/>
        <v>-7.1738793237164575E-3</v>
      </c>
      <c r="I45" s="86">
        <v>-7.2467601163713289E-3</v>
      </c>
      <c r="J45" s="99">
        <v>-6.9808784633395475E-3</v>
      </c>
      <c r="K45" s="99">
        <v>-6.7600586414725515E-3</v>
      </c>
      <c r="L45" s="99">
        <v>-7.4816937281120665E-3</v>
      </c>
      <c r="M45" s="99">
        <v>-8.1377279790627293E-3</v>
      </c>
      <c r="N45" s="99">
        <v>-7.8031952030884226E-3</v>
      </c>
      <c r="O45" s="99">
        <v>-7.8950516368276255E-3</v>
      </c>
      <c r="P45" s="99">
        <v>-8.0528517258903094E-3</v>
      </c>
      <c r="Q45" s="99">
        <v>-8.2397425032961474E-3</v>
      </c>
      <c r="R45" s="99">
        <v>-8.0780462937400446E-3</v>
      </c>
    </row>
    <row r="46" spans="1:86" x14ac:dyDescent="0.25">
      <c r="A46" s="1"/>
      <c r="B46" s="1"/>
      <c r="C46" s="1"/>
      <c r="D46" s="1"/>
      <c r="E46" s="1"/>
      <c r="G46" s="1"/>
      <c r="H46" s="1"/>
      <c r="I46" s="12"/>
      <c r="J46" s="92"/>
      <c r="K46" s="92"/>
      <c r="L46" s="92"/>
      <c r="M46" s="92"/>
      <c r="N46" s="92"/>
      <c r="O46" s="93"/>
      <c r="P46" s="93"/>
      <c r="Q46" s="93"/>
      <c r="R46" s="93"/>
    </row>
    <row r="47" spans="1:86" x14ac:dyDescent="0.25">
      <c r="A47" s="1"/>
      <c r="B47" s="1" t="s">
        <v>23</v>
      </c>
      <c r="C47" s="36">
        <v>962</v>
      </c>
      <c r="D47" s="36">
        <v>449</v>
      </c>
      <c r="E47" s="36">
        <v>1202</v>
      </c>
      <c r="F47" s="2">
        <v>3598</v>
      </c>
      <c r="G47" s="1">
        <v>-872</v>
      </c>
      <c r="H47" s="1">
        <v>620</v>
      </c>
      <c r="I47" s="20">
        <f t="shared" ref="I47:R47" si="29">I48*I11</f>
        <v>567.15000000000009</v>
      </c>
      <c r="J47" s="91">
        <f t="shared" si="29"/>
        <v>691.8900000000001</v>
      </c>
      <c r="K47" s="91">
        <f t="shared" si="29"/>
        <v>736.68000000000006</v>
      </c>
      <c r="L47" s="91">
        <f t="shared" si="29"/>
        <v>753.84</v>
      </c>
      <c r="M47" s="91">
        <f t="shared" si="29"/>
        <v>733.62</v>
      </c>
      <c r="N47" s="91">
        <f t="shared" si="29"/>
        <v>730.47</v>
      </c>
      <c r="O47" s="91">
        <f t="shared" si="29"/>
        <v>752.37</v>
      </c>
      <c r="P47" s="91">
        <f t="shared" si="29"/>
        <v>767.43000000000006</v>
      </c>
      <c r="Q47" s="91">
        <f t="shared" si="29"/>
        <v>782.79145221101317</v>
      </c>
      <c r="R47" s="91">
        <f t="shared" si="29"/>
        <v>798.46039072570397</v>
      </c>
    </row>
    <row r="48" spans="1:86" x14ac:dyDescent="0.25">
      <c r="A48" s="1"/>
      <c r="B48" s="71" t="s">
        <v>17</v>
      </c>
      <c r="C48" s="72">
        <f t="shared" ref="C48:H48" si="30">C47/C11</f>
        <v>2.3011051045304501E-2</v>
      </c>
      <c r="D48" s="72">
        <f t="shared" si="30"/>
        <v>9.2291880781089422E-3</v>
      </c>
      <c r="E48" s="72">
        <f t="shared" si="30"/>
        <v>7.827253428493287E-3</v>
      </c>
      <c r="F48" s="72">
        <f t="shared" si="30"/>
        <v>2.2431281600488774E-2</v>
      </c>
      <c r="G48" s="72">
        <f t="shared" si="30"/>
        <v>-5.0092487275818888E-3</v>
      </c>
      <c r="H48" s="72">
        <f t="shared" si="30"/>
        <v>3.4345985951383809E-3</v>
      </c>
      <c r="I48" s="87">
        <v>3.0000000000000001E-3</v>
      </c>
      <c r="J48" s="90">
        <v>3.0000000000000001E-3</v>
      </c>
      <c r="K48" s="90">
        <v>3.0000000000000001E-3</v>
      </c>
      <c r="L48" s="90">
        <v>3.0000000000000001E-3</v>
      </c>
      <c r="M48" s="90">
        <v>3.0000000000000001E-3</v>
      </c>
      <c r="N48" s="90">
        <v>3.0000000000000001E-3</v>
      </c>
      <c r="O48" s="90">
        <v>3.0000000000000001E-3</v>
      </c>
      <c r="P48" s="90">
        <v>3.0000000000000001E-3</v>
      </c>
      <c r="Q48" s="90">
        <v>3.0000000000000001E-3</v>
      </c>
      <c r="R48" s="90">
        <v>3.0000000000000001E-3</v>
      </c>
      <c r="S48" s="90"/>
    </row>
    <row r="49" spans="1:86" x14ac:dyDescent="0.25">
      <c r="A49" s="1"/>
      <c r="B49" s="1"/>
      <c r="C49" s="1"/>
      <c r="D49" s="1"/>
      <c r="E49" s="1"/>
      <c r="F49" s="1"/>
      <c r="G49" s="1"/>
      <c r="H49" s="1"/>
      <c r="I49" s="12"/>
      <c r="J49" s="92"/>
      <c r="K49" s="92"/>
      <c r="L49" s="92"/>
      <c r="M49" s="92"/>
      <c r="N49" s="92"/>
      <c r="O49" s="92"/>
      <c r="P49" s="92"/>
      <c r="Q49" s="92"/>
      <c r="R49" s="93"/>
    </row>
    <row r="50" spans="1:86" x14ac:dyDescent="0.25">
      <c r="A50" s="1"/>
      <c r="B50" s="9" t="s">
        <v>24</v>
      </c>
      <c r="C50" s="11">
        <f t="shared" ref="C50:H50" si="31">C34-C37</f>
        <v>2568</v>
      </c>
      <c r="D50" s="11">
        <f t="shared" si="31"/>
        <v>3225</v>
      </c>
      <c r="E50" s="11">
        <f t="shared" si="31"/>
        <v>6627</v>
      </c>
      <c r="F50" s="11">
        <f t="shared" si="31"/>
        <v>5774</v>
      </c>
      <c r="G50" s="11">
        <f t="shared" si="31"/>
        <v>6568</v>
      </c>
      <c r="H50" s="11">
        <f t="shared" si="31"/>
        <v>6807</v>
      </c>
      <c r="I50" s="66">
        <f t="shared" ref="I50:R50" si="32">I34-I37</f>
        <v>6682.025184000001</v>
      </c>
      <c r="J50" s="95">
        <f t="shared" si="32"/>
        <v>7243.9222463999995</v>
      </c>
      <c r="K50" s="95">
        <f t="shared" si="32"/>
        <v>7519.5579648000003</v>
      </c>
      <c r="L50" s="95">
        <f t="shared" si="32"/>
        <v>7496.9086463999965</v>
      </c>
      <c r="M50" s="95">
        <f t="shared" si="32"/>
        <v>7969.5781631999989</v>
      </c>
      <c r="N50" s="95">
        <f t="shared" si="32"/>
        <v>7552.007923199998</v>
      </c>
      <c r="O50" s="95">
        <f t="shared" si="32"/>
        <v>7679.7114431999998</v>
      </c>
      <c r="P50" s="95">
        <f t="shared" si="32"/>
        <v>7833.4342847999987</v>
      </c>
      <c r="Q50" s="95">
        <f t="shared" si="32"/>
        <v>7990.2341576406052</v>
      </c>
      <c r="R50" s="95">
        <f t="shared" si="32"/>
        <v>8150.1726538779176</v>
      </c>
    </row>
    <row r="51" spans="1:86" x14ac:dyDescent="0.25">
      <c r="A51" s="1"/>
      <c r="B51" s="9" t="s">
        <v>54</v>
      </c>
      <c r="C51" s="11">
        <v>-5</v>
      </c>
      <c r="D51" s="11">
        <v>9</v>
      </c>
      <c r="E51" s="11">
        <v>16</v>
      </c>
      <c r="F51" s="11">
        <v>31</v>
      </c>
      <c r="G51" s="11">
        <v>50</v>
      </c>
      <c r="H51" s="11">
        <v>78</v>
      </c>
      <c r="I51" s="66">
        <v>85.133333333333297</v>
      </c>
      <c r="J51" s="95">
        <v>100.933333333333</v>
      </c>
      <c r="K51" s="95">
        <v>116.73333333333299</v>
      </c>
      <c r="L51" s="95">
        <v>132.53333333333299</v>
      </c>
      <c r="M51" s="95">
        <v>148.333333333333</v>
      </c>
      <c r="N51" s="95">
        <v>164.13333333333301</v>
      </c>
      <c r="O51" s="95">
        <v>179.933333333333</v>
      </c>
      <c r="P51" s="95">
        <v>195.73333333333301</v>
      </c>
      <c r="Q51" s="95">
        <v>211.53333333333299</v>
      </c>
      <c r="R51" s="95">
        <v>227.333333333333</v>
      </c>
    </row>
    <row r="52" spans="1:86" x14ac:dyDescent="0.25">
      <c r="A52" s="1"/>
      <c r="B52" s="9" t="s">
        <v>25</v>
      </c>
      <c r="C52" s="11">
        <f t="shared" ref="C52:I52" si="33">C32-C37-C51</f>
        <v>2237</v>
      </c>
      <c r="D52" s="11">
        <f t="shared" si="33"/>
        <v>2637</v>
      </c>
      <c r="E52" s="11">
        <f t="shared" si="33"/>
        <v>5104</v>
      </c>
      <c r="F52" s="11">
        <f t="shared" si="33"/>
        <v>8458</v>
      </c>
      <c r="G52" s="11">
        <f t="shared" si="33"/>
        <v>5365</v>
      </c>
      <c r="H52" s="11">
        <f t="shared" si="33"/>
        <v>6668</v>
      </c>
      <c r="I52" s="66">
        <f t="shared" si="33"/>
        <v>5973.439940208159</v>
      </c>
      <c r="J52" s="95">
        <f t="shared" ref="J52:R52" si="34">J32-J37-J51</f>
        <v>6564.5849950270012</v>
      </c>
      <c r="K52" s="95">
        <f t="shared" si="34"/>
        <v>7171.4181124201159</v>
      </c>
      <c r="L52" s="95">
        <f t="shared" si="34"/>
        <v>7499.096283967433</v>
      </c>
      <c r="M52" s="95">
        <f t="shared" si="34"/>
        <v>7284.3427333456857</v>
      </c>
      <c r="N52" s="95">
        <f t="shared" si="34"/>
        <v>7032.9697268436057</v>
      </c>
      <c r="O52" s="95">
        <f t="shared" si="34"/>
        <v>7087.4332590078366</v>
      </c>
      <c r="P52" s="95">
        <f t="shared" si="34"/>
        <v>7287.6048615205509</v>
      </c>
      <c r="Q52" s="95">
        <f t="shared" si="34"/>
        <v>7471.1455393304332</v>
      </c>
      <c r="R52" s="95">
        <f t="shared" si="34"/>
        <v>7598.6446932414892</v>
      </c>
      <c r="S52" s="62">
        <f>R52*(1+$E$6)</f>
        <v>7674.631140173904</v>
      </c>
      <c r="T52" s="62">
        <f t="shared" ref="T52:CE52" si="35">S52*(1+$E$6)</f>
        <v>7751.3774515756431</v>
      </c>
      <c r="U52" s="62">
        <f t="shared" si="35"/>
        <v>7828.8912260913994</v>
      </c>
      <c r="V52" s="62">
        <f t="shared" si="35"/>
        <v>7907.1801383523134</v>
      </c>
      <c r="W52" s="62">
        <f t="shared" si="35"/>
        <v>7986.2519397358365</v>
      </c>
      <c r="X52" s="62">
        <f t="shared" si="35"/>
        <v>8066.1144591331949</v>
      </c>
      <c r="Y52" s="62">
        <f t="shared" si="35"/>
        <v>8146.7756037245272</v>
      </c>
      <c r="Z52" s="62">
        <f t="shared" si="35"/>
        <v>8228.2433597617728</v>
      </c>
      <c r="AA52" s="62">
        <f t="shared" si="35"/>
        <v>8310.5257933593912</v>
      </c>
      <c r="AB52" s="62">
        <f t="shared" si="35"/>
        <v>8393.6310512929849</v>
      </c>
      <c r="AC52" s="62">
        <f t="shared" si="35"/>
        <v>8477.5673618059154</v>
      </c>
      <c r="AD52" s="62">
        <f t="shared" si="35"/>
        <v>8562.3430354239754</v>
      </c>
      <c r="AE52" s="62">
        <f t="shared" si="35"/>
        <v>8647.9664657782159</v>
      </c>
      <c r="AF52" s="62">
        <f t="shared" si="35"/>
        <v>8734.4461304359975</v>
      </c>
      <c r="AG52" s="62">
        <f t="shared" si="35"/>
        <v>8821.7905917403568</v>
      </c>
      <c r="AH52" s="62">
        <f t="shared" si="35"/>
        <v>8910.00849765776</v>
      </c>
      <c r="AI52" s="62">
        <f t="shared" si="35"/>
        <v>8999.1085826343369</v>
      </c>
      <c r="AJ52" s="62">
        <f t="shared" si="35"/>
        <v>9089.0996684606798</v>
      </c>
      <c r="AK52" s="62">
        <f t="shared" si="35"/>
        <v>9179.9906651452875</v>
      </c>
      <c r="AL52" s="62">
        <f t="shared" si="35"/>
        <v>9271.7905717967406</v>
      </c>
      <c r="AM52" s="62">
        <f t="shared" si="35"/>
        <v>9364.5084775147079</v>
      </c>
      <c r="AN52" s="62">
        <f t="shared" si="35"/>
        <v>9458.1535622898555</v>
      </c>
      <c r="AO52" s="62">
        <f t="shared" si="35"/>
        <v>9552.735097912755</v>
      </c>
      <c r="AP52" s="62">
        <f t="shared" si="35"/>
        <v>9648.2624488918827</v>
      </c>
      <c r="AQ52" s="62">
        <f t="shared" si="35"/>
        <v>9744.7450733808018</v>
      </c>
      <c r="AR52" s="62">
        <f t="shared" si="35"/>
        <v>9842.1925241146091</v>
      </c>
      <c r="AS52" s="62">
        <f t="shared" si="35"/>
        <v>9940.6144493557549</v>
      </c>
      <c r="AT52" s="62">
        <f t="shared" si="35"/>
        <v>10040.020593849313</v>
      </c>
      <c r="AU52" s="62">
        <f t="shared" si="35"/>
        <v>10140.420799787806</v>
      </c>
      <c r="AV52" s="62">
        <f t="shared" si="35"/>
        <v>10241.825007785685</v>
      </c>
      <c r="AW52" s="62">
        <f t="shared" si="35"/>
        <v>10344.243257863542</v>
      </c>
      <c r="AX52" s="62">
        <f t="shared" si="35"/>
        <v>10447.685690442177</v>
      </c>
      <c r="AY52" s="62">
        <f t="shared" si="35"/>
        <v>10552.162547346599</v>
      </c>
      <c r="AZ52" s="62">
        <f t="shared" si="35"/>
        <v>10657.684172820065</v>
      </c>
      <c r="BA52" s="62">
        <f t="shared" si="35"/>
        <v>10764.261014548267</v>
      </c>
      <c r="BB52" s="62">
        <f t="shared" si="35"/>
        <v>10871.90362469375</v>
      </c>
      <c r="BC52" s="62">
        <f t="shared" si="35"/>
        <v>10980.622660940688</v>
      </c>
      <c r="BD52" s="62">
        <f t="shared" si="35"/>
        <v>11090.428887550095</v>
      </c>
      <c r="BE52" s="62">
        <f t="shared" si="35"/>
        <v>11201.333176425596</v>
      </c>
      <c r="BF52" s="62">
        <f t="shared" si="35"/>
        <v>11313.346508189852</v>
      </c>
      <c r="BG52" s="62">
        <f t="shared" si="35"/>
        <v>11426.479973271751</v>
      </c>
      <c r="BH52" s="62">
        <f t="shared" si="35"/>
        <v>11540.744773004468</v>
      </c>
      <c r="BI52" s="62">
        <f t="shared" si="35"/>
        <v>11656.152220734513</v>
      </c>
      <c r="BJ52" s="62">
        <f t="shared" si="35"/>
        <v>11772.713742941858</v>
      </c>
      <c r="BK52" s="62">
        <f t="shared" si="35"/>
        <v>11890.440880371276</v>
      </c>
      <c r="BL52" s="62">
        <f t="shared" si="35"/>
        <v>12009.345289174989</v>
      </c>
      <c r="BM52" s="62">
        <f t="shared" si="35"/>
        <v>12129.438742066739</v>
      </c>
      <c r="BN52" s="62">
        <f t="shared" si="35"/>
        <v>12250.733129487406</v>
      </c>
      <c r="BO52" s="62">
        <f t="shared" si="35"/>
        <v>12373.240460782279</v>
      </c>
      <c r="BP52" s="62">
        <f t="shared" si="35"/>
        <v>12496.972865390102</v>
      </c>
      <c r="BQ52" s="62">
        <f t="shared" si="35"/>
        <v>12621.942594044003</v>
      </c>
      <c r="BR52" s="62">
        <f t="shared" si="35"/>
        <v>12748.162019984444</v>
      </c>
      <c r="BS52" s="62">
        <f t="shared" si="35"/>
        <v>12875.643640184288</v>
      </c>
      <c r="BT52" s="62">
        <f t="shared" si="35"/>
        <v>13004.400076586131</v>
      </c>
      <c r="BU52" s="62">
        <f t="shared" si="35"/>
        <v>13134.444077351993</v>
      </c>
      <c r="BV52" s="62">
        <f t="shared" si="35"/>
        <v>13265.788518125513</v>
      </c>
      <c r="BW52" s="62">
        <f t="shared" si="35"/>
        <v>13398.446403306769</v>
      </c>
      <c r="BX52" s="62">
        <f t="shared" si="35"/>
        <v>13532.430867339837</v>
      </c>
      <c r="BY52" s="62">
        <f t="shared" si="35"/>
        <v>13667.755176013236</v>
      </c>
      <c r="BZ52" s="62">
        <f t="shared" si="35"/>
        <v>13804.432727773368</v>
      </c>
      <c r="CA52" s="62">
        <f t="shared" si="35"/>
        <v>13942.477055051102</v>
      </c>
      <c r="CB52" s="62">
        <f t="shared" si="35"/>
        <v>14081.901825601613</v>
      </c>
      <c r="CC52" s="62">
        <f t="shared" si="35"/>
        <v>14222.720843857629</v>
      </c>
      <c r="CD52" s="62">
        <f t="shared" si="35"/>
        <v>14364.948052296206</v>
      </c>
      <c r="CE52" s="62">
        <f t="shared" si="35"/>
        <v>14508.597532819167</v>
      </c>
      <c r="CF52" s="62">
        <f t="shared" ref="CF52:CH52" si="36">CE52*(1+$E$6)</f>
        <v>14653.683508147358</v>
      </c>
      <c r="CG52" s="62">
        <f t="shared" si="36"/>
        <v>14800.220343228832</v>
      </c>
      <c r="CH52" s="62">
        <f t="shared" si="36"/>
        <v>14948.22254666112</v>
      </c>
    </row>
    <row r="53" spans="1:86" x14ac:dyDescent="0.25">
      <c r="A53" s="1"/>
      <c r="B53" s="6"/>
      <c r="C53" s="21"/>
      <c r="D53" s="21"/>
      <c r="E53" s="21"/>
      <c r="F53" s="21"/>
      <c r="G53" s="21"/>
      <c r="H53" s="21"/>
      <c r="I53" s="12"/>
      <c r="J53" s="92"/>
      <c r="K53" s="92"/>
      <c r="L53" s="92"/>
      <c r="M53" s="92"/>
      <c r="N53" s="92"/>
      <c r="O53" s="92"/>
      <c r="P53" s="92"/>
      <c r="Q53" s="92"/>
      <c r="R53" s="92"/>
    </row>
    <row r="54" spans="1:86" x14ac:dyDescent="0.25">
      <c r="A54" s="1"/>
      <c r="B54" s="9" t="s">
        <v>26</v>
      </c>
      <c r="C54" s="23">
        <f t="shared" ref="C54:H54" si="37">C50+C41+C44-C47</f>
        <v>1701</v>
      </c>
      <c r="D54" s="23">
        <f t="shared" si="37"/>
        <v>2943</v>
      </c>
      <c r="E54" s="23">
        <f t="shared" si="37"/>
        <v>8026</v>
      </c>
      <c r="F54" s="23">
        <f t="shared" si="37"/>
        <v>3884</v>
      </c>
      <c r="G54" s="23">
        <f t="shared" si="37"/>
        <v>9209</v>
      </c>
      <c r="H54" s="23">
        <f t="shared" si="37"/>
        <v>7829</v>
      </c>
      <c r="I54" s="66">
        <f t="shared" ref="I54:R54" si="38">I50+I41+I44-I47</f>
        <v>7664.8751840000023</v>
      </c>
      <c r="J54" s="11">
        <f t="shared" si="38"/>
        <v>7852.0322463999992</v>
      </c>
      <c r="K54" s="11">
        <f t="shared" si="38"/>
        <v>7912.8779648</v>
      </c>
      <c r="L54" s="11">
        <f t="shared" si="38"/>
        <v>8913.0686463999955</v>
      </c>
      <c r="M54" s="11">
        <f t="shared" si="38"/>
        <v>9395.958163199999</v>
      </c>
      <c r="N54" s="11">
        <f t="shared" si="38"/>
        <v>7271.5379231999987</v>
      </c>
      <c r="O54" s="11">
        <f t="shared" si="38"/>
        <v>7297.3414432</v>
      </c>
      <c r="P54" s="11">
        <f t="shared" si="38"/>
        <v>7366.0042847999975</v>
      </c>
      <c r="Q54" s="11">
        <f t="shared" si="38"/>
        <v>7464.6822285365743</v>
      </c>
      <c r="R54" s="11">
        <f t="shared" si="38"/>
        <v>7657.1368909523535</v>
      </c>
    </row>
    <row r="55" spans="1:86" x14ac:dyDescent="0.25">
      <c r="A55" s="1"/>
      <c r="B55" s="24" t="s">
        <v>27</v>
      </c>
      <c r="C55" s="1"/>
      <c r="D55" s="1"/>
      <c r="E55" s="1"/>
      <c r="F55" s="1"/>
      <c r="G55" s="1"/>
      <c r="H55" s="1"/>
      <c r="I55" s="65">
        <f t="shared" ref="I55:R55" si="39">I54/((1+$E$5)^I9)</f>
        <v>7177.9923756227499</v>
      </c>
      <c r="J55" s="63">
        <f t="shared" si="39"/>
        <v>6886.1723087021392</v>
      </c>
      <c r="K55" s="63">
        <f t="shared" si="39"/>
        <v>6498.7253722579189</v>
      </c>
      <c r="L55" s="63">
        <f t="shared" si="39"/>
        <v>6855.1801714542135</v>
      </c>
      <c r="M55" s="63">
        <f t="shared" si="39"/>
        <v>6767.5364284360521</v>
      </c>
      <c r="N55" s="63">
        <f t="shared" si="39"/>
        <v>4904.7142103215519</v>
      </c>
      <c r="O55" s="63">
        <f t="shared" si="39"/>
        <v>4609.4595303591714</v>
      </c>
      <c r="P55" s="63">
        <f t="shared" si="39"/>
        <v>4357.2774210430107</v>
      </c>
      <c r="Q55" s="63">
        <f t="shared" si="39"/>
        <v>4135.1614895450448</v>
      </c>
      <c r="R55" s="63">
        <f t="shared" si="39"/>
        <v>3972.3313422412593</v>
      </c>
    </row>
    <row r="56" spans="1:86" x14ac:dyDescent="0.25">
      <c r="A56" s="1"/>
      <c r="B56" s="25"/>
      <c r="C56" s="25"/>
      <c r="D56" s="25"/>
      <c r="E56" s="25"/>
      <c r="F56" s="25"/>
      <c r="G56" s="25"/>
      <c r="H56" s="25"/>
      <c r="I56" s="15"/>
      <c r="J56" s="1"/>
      <c r="K56" s="1"/>
      <c r="L56" s="1"/>
      <c r="M56" s="1"/>
      <c r="N56" s="1"/>
      <c r="O56" s="1"/>
      <c r="P56" s="1"/>
      <c r="Q56" s="1"/>
      <c r="R56" s="1"/>
    </row>
    <row r="57" spans="1:86" x14ac:dyDescent="0.25">
      <c r="A57" s="1"/>
      <c r="B57" s="1" t="s">
        <v>28</v>
      </c>
      <c r="C57" s="26">
        <f>(R54*(1+$E$6))/($E$5-$E$6)</f>
        <v>133731.90353822857</v>
      </c>
      <c r="D57" s="1"/>
      <c r="E57" s="1" t="s">
        <v>29</v>
      </c>
      <c r="F57" s="18">
        <f>NPV($E$5,I52:CH52)</f>
        <v>117152.57569069824</v>
      </c>
      <c r="G57" s="1"/>
      <c r="H57" s="1"/>
      <c r="I57" s="15"/>
      <c r="J57" s="1"/>
      <c r="K57" s="1"/>
      <c r="L57" s="1"/>
      <c r="M57" s="1"/>
      <c r="N57" s="1"/>
      <c r="O57" s="1"/>
      <c r="P57" s="1"/>
      <c r="Q57" s="1"/>
    </row>
    <row r="58" spans="1:86" x14ac:dyDescent="0.25">
      <c r="A58" s="1"/>
      <c r="B58" s="3" t="s">
        <v>30</v>
      </c>
      <c r="C58" s="27">
        <f>C57/((1+$E$5)^$R$9)</f>
        <v>69376.770906392776</v>
      </c>
      <c r="D58" s="16"/>
      <c r="E58" s="3"/>
      <c r="F58" s="3"/>
      <c r="G58" s="3"/>
      <c r="H58" s="16"/>
      <c r="I58" s="12"/>
      <c r="J58" s="1"/>
      <c r="L58" s="52" t="s">
        <v>51</v>
      </c>
      <c r="M58" s="53"/>
      <c r="N58" s="53"/>
      <c r="O58" s="53"/>
      <c r="P58" s="53"/>
      <c r="Q58" s="52"/>
    </row>
    <row r="59" spans="1:86" x14ac:dyDescent="0.25">
      <c r="A59" s="1"/>
      <c r="B59" s="6" t="s">
        <v>31</v>
      </c>
      <c r="C59" s="6"/>
      <c r="D59" s="1"/>
      <c r="E59" s="6"/>
      <c r="F59" s="6"/>
      <c r="G59" s="28" t="s">
        <v>32</v>
      </c>
      <c r="H59" s="28" t="s">
        <v>29</v>
      </c>
      <c r="I59" s="15"/>
      <c r="J59" s="1"/>
      <c r="K59" s="52"/>
      <c r="L59" s="54">
        <f>D65</f>
        <v>337.9666563691037</v>
      </c>
      <c r="M59" s="55">
        <v>-0.03</v>
      </c>
      <c r="N59" s="55">
        <v>-0.01</v>
      </c>
      <c r="O59" s="55">
        <v>0.01</v>
      </c>
      <c r="P59" s="55">
        <v>0.02</v>
      </c>
      <c r="Q59" s="55">
        <v>0.03</v>
      </c>
    </row>
    <row r="60" spans="1:86" x14ac:dyDescent="0.25">
      <c r="A60" s="1"/>
      <c r="B60" s="29" t="s">
        <v>33</v>
      </c>
      <c r="C60" s="1"/>
      <c r="D60" s="22">
        <f>7935+914</f>
        <v>8849</v>
      </c>
      <c r="E60" s="1"/>
      <c r="F60" s="1"/>
      <c r="G60" s="26">
        <f>C58+SUM(I55:R55)</f>
        <v>125541.32155637589</v>
      </c>
      <c r="H60" s="18">
        <f>F57</f>
        <v>117152.57569069824</v>
      </c>
      <c r="I60" s="15"/>
      <c r="J60" s="1"/>
      <c r="K60" s="52"/>
      <c r="L60" s="56">
        <f>L61-1%</f>
        <v>4.8070755485396646E-2</v>
      </c>
      <c r="M60" s="57">
        <f t="dataTable" ref="M60:Q64" dt2D="1" dtr="1" r1="E6" r2="E5"/>
        <v>324.61512176332928</v>
      </c>
      <c r="N60" s="57">
        <v>396.82995317039109</v>
      </c>
      <c r="O60" s="57">
        <v>535.31053974338897</v>
      </c>
      <c r="P60" s="57">
        <v>664.56405563662065</v>
      </c>
      <c r="Q60" s="57">
        <v>903.44741294653261</v>
      </c>
    </row>
    <row r="61" spans="1:86" x14ac:dyDescent="0.25">
      <c r="A61" s="1"/>
      <c r="B61" s="30" t="s">
        <v>34</v>
      </c>
      <c r="C61" s="3"/>
      <c r="D61" s="75">
        <f>3418+9174+17609</f>
        <v>30201</v>
      </c>
      <c r="E61" s="3"/>
      <c r="F61" s="3"/>
      <c r="G61" s="3"/>
      <c r="H61" s="3"/>
      <c r="I61" s="15"/>
      <c r="J61" s="1"/>
      <c r="K61" s="53"/>
      <c r="L61" s="56">
        <f>L62-1%</f>
        <v>5.8070755485396648E-2</v>
      </c>
      <c r="M61" s="57">
        <v>276.75255724913904</v>
      </c>
      <c r="N61" s="58">
        <v>327.56588582341271</v>
      </c>
      <c r="O61" s="58">
        <v>417.03314372797479</v>
      </c>
      <c r="P61" s="58">
        <v>492.10050332669914</v>
      </c>
      <c r="Q61" s="57">
        <v>610.39371633640121</v>
      </c>
    </row>
    <row r="62" spans="1:86" x14ac:dyDescent="0.25">
      <c r="A62" s="1"/>
      <c r="B62" s="6" t="s">
        <v>35</v>
      </c>
      <c r="C62" s="6"/>
      <c r="D62" s="6"/>
      <c r="E62" s="6"/>
      <c r="F62" s="6"/>
      <c r="G62" s="31">
        <f>(G60+D60-D61)</f>
        <v>104189.32155637589</v>
      </c>
      <c r="H62" s="32">
        <f>(H60+D60-D61)</f>
        <v>95800.575690698242</v>
      </c>
      <c r="I62" s="15"/>
      <c r="J62"/>
      <c r="K62" s="52" t="s">
        <v>1</v>
      </c>
      <c r="L62" s="59">
        <v>6.807075548539665E-2</v>
      </c>
      <c r="M62" s="57">
        <v>238.71052398930732</v>
      </c>
      <c r="N62" s="58">
        <v>275.55217232100864</v>
      </c>
      <c r="O62" s="60">
        <v>336.32891875526411</v>
      </c>
      <c r="P62" s="58">
        <v>383.81256751855631</v>
      </c>
      <c r="Q62" s="57">
        <v>452.60960060752541</v>
      </c>
    </row>
    <row r="63" spans="1:86" x14ac:dyDescent="0.25">
      <c r="A63" s="1"/>
      <c r="B63" s="3" t="s">
        <v>36</v>
      </c>
      <c r="C63" s="3"/>
      <c r="D63" s="36">
        <f>295872231/1000000</f>
        <v>295.872231</v>
      </c>
      <c r="E63" s="3"/>
      <c r="F63" s="3"/>
      <c r="G63" s="3"/>
      <c r="H63" s="3"/>
      <c r="I63" s="15"/>
      <c r="J63" s="1"/>
      <c r="K63" s="52"/>
      <c r="L63" s="61">
        <f>L62+1%</f>
        <v>7.8070755485396645E-2</v>
      </c>
      <c r="M63" s="57">
        <v>207.80412056173776</v>
      </c>
      <c r="N63" s="58">
        <v>235.17839008328423</v>
      </c>
      <c r="O63" s="58">
        <v>278.04377109942129</v>
      </c>
      <c r="P63" s="58">
        <v>309.80071998527546</v>
      </c>
      <c r="Q63" s="57">
        <v>353.37992021009353</v>
      </c>
    </row>
    <row r="64" spans="1:86" x14ac:dyDescent="0.25">
      <c r="A64" s="1"/>
      <c r="B64" s="17" t="s">
        <v>37</v>
      </c>
      <c r="C64" s="17"/>
      <c r="D64" s="17">
        <f>D63*$J$5</f>
        <v>75589.437575880002</v>
      </c>
      <c r="E64" s="17"/>
      <c r="F64" s="17"/>
      <c r="G64" s="17"/>
      <c r="H64" s="33"/>
      <c r="I64" s="1"/>
      <c r="J64" s="1"/>
      <c r="K64" s="52"/>
      <c r="L64" s="61">
        <f>L63+1%</f>
        <v>8.807075548539664E-2</v>
      </c>
      <c r="M64" s="57">
        <v>182.23272517596524</v>
      </c>
      <c r="N64" s="57">
        <v>202.99276555673043</v>
      </c>
      <c r="O64" s="57">
        <v>234.1369997106612</v>
      </c>
      <c r="P64" s="57">
        <v>256.26143455234967</v>
      </c>
      <c r="Q64" s="57">
        <v>285.44558010589469</v>
      </c>
    </row>
    <row r="65" spans="1:10" x14ac:dyDescent="0.25">
      <c r="A65" s="1"/>
      <c r="B65" s="6" t="s">
        <v>38</v>
      </c>
      <c r="C65" s="6" t="s">
        <v>39</v>
      </c>
      <c r="D65" s="34">
        <f>(G65+H65)/2</f>
        <v>337.9666563691037</v>
      </c>
      <c r="F65" s="6"/>
      <c r="G65" s="34">
        <f>G62/D63</f>
        <v>352.14295442405302</v>
      </c>
      <c r="H65" s="34">
        <f>H62/D63</f>
        <v>323.79035831415433</v>
      </c>
      <c r="I65" s="15"/>
      <c r="J65" s="1"/>
    </row>
    <row r="66" spans="1:10" x14ac:dyDescent="0.25">
      <c r="A66"/>
      <c r="C66" s="1"/>
      <c r="D66" s="1"/>
    </row>
  </sheetData>
  <sortState xmlns:xlrd2="http://schemas.microsoft.com/office/spreadsheetml/2017/richdata2" columnSort="1" ref="C10:H54">
    <sortCondition ref="C10:H1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A8D0-EB60-4713-9C2D-7D0CE764B52F}">
  <dimension ref="A1:N21"/>
  <sheetViews>
    <sheetView workbookViewId="0">
      <selection activeCell="H6" sqref="H6"/>
    </sheetView>
  </sheetViews>
  <sheetFormatPr defaultRowHeight="15" x14ac:dyDescent="0.25"/>
  <cols>
    <col min="3" max="3" width="11.5703125" customWidth="1"/>
    <col min="11" max="11" width="11.7109375" customWidth="1"/>
  </cols>
  <sheetData>
    <row r="1" spans="1:14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4" ht="23.25" x14ac:dyDescent="0.35">
      <c r="A2" s="2"/>
      <c r="B2" s="38" t="s">
        <v>1</v>
      </c>
      <c r="C2" s="2"/>
      <c r="D2" s="2"/>
      <c r="E2" s="2"/>
      <c r="F2" s="2"/>
      <c r="G2" s="2"/>
      <c r="H2" s="2"/>
      <c r="I2" s="2"/>
      <c r="J2" s="2"/>
      <c r="K2" s="2"/>
      <c r="L2" s="39"/>
    </row>
    <row r="3" spans="1:14" x14ac:dyDescent="0.25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2"/>
    </row>
    <row r="4" spans="1:14" x14ac:dyDescent="0.25">
      <c r="A4" s="41" t="s">
        <v>41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4" x14ac:dyDescent="0.25">
      <c r="A6" s="2"/>
      <c r="B6" s="2" t="s">
        <v>42</v>
      </c>
      <c r="C6" s="2"/>
      <c r="D6" s="42">
        <f>'CI DCF'!I38</f>
        <v>0.21279999999999999</v>
      </c>
      <c r="E6" s="2"/>
      <c r="F6" s="2"/>
      <c r="G6" s="2"/>
      <c r="H6" s="2"/>
      <c r="I6" s="2"/>
      <c r="J6" s="2"/>
      <c r="K6" s="2"/>
      <c r="L6" s="2"/>
    </row>
    <row r="7" spans="1:14" x14ac:dyDescent="0.25">
      <c r="A7" s="2"/>
      <c r="B7" s="2" t="s">
        <v>43</v>
      </c>
      <c r="C7" s="2"/>
      <c r="D7" s="42">
        <v>5.3999999999999999E-2</v>
      </c>
      <c r="E7" s="2"/>
      <c r="F7" s="2"/>
      <c r="G7" s="2"/>
      <c r="H7" s="2"/>
      <c r="I7" s="2"/>
      <c r="J7" s="2"/>
      <c r="K7" s="2"/>
      <c r="L7" s="2"/>
    </row>
    <row r="8" spans="1:14" x14ac:dyDescent="0.25">
      <c r="A8" s="2"/>
      <c r="B8" s="2" t="s">
        <v>44</v>
      </c>
      <c r="C8" s="2"/>
      <c r="D8" s="43">
        <v>0.63</v>
      </c>
      <c r="E8" s="2"/>
      <c r="F8" s="2"/>
      <c r="G8" s="2"/>
      <c r="H8" s="2"/>
      <c r="I8" s="2"/>
      <c r="J8" s="2"/>
      <c r="K8" s="2"/>
      <c r="L8" s="2"/>
    </row>
    <row r="9" spans="1:14" x14ac:dyDescent="0.25">
      <c r="A9" s="2"/>
      <c r="B9" s="2" t="s">
        <v>45</v>
      </c>
      <c r="C9" s="2"/>
      <c r="D9" s="42">
        <v>4.4999999999999998E-2</v>
      </c>
      <c r="E9" s="2"/>
      <c r="F9" s="2"/>
      <c r="G9" s="2"/>
      <c r="H9" s="2"/>
      <c r="I9" s="2"/>
      <c r="J9" s="2"/>
      <c r="K9" s="2"/>
      <c r="L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36"/>
    </row>
    <row r="11" spans="1:1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4" x14ac:dyDescent="0.25">
      <c r="A12" s="2" t="s">
        <v>35</v>
      </c>
      <c r="B12" s="2"/>
      <c r="C12" s="22">
        <f>'CI DCF'!D64</f>
        <v>75589.437575880002</v>
      </c>
      <c r="D12" s="2"/>
      <c r="E12" s="2" t="s">
        <v>34</v>
      </c>
      <c r="F12" s="2"/>
      <c r="G12" s="22">
        <f>'CI DCF'!D61</f>
        <v>30201</v>
      </c>
      <c r="H12" s="2"/>
      <c r="I12" s="2" t="s">
        <v>46</v>
      </c>
      <c r="J12" s="2"/>
      <c r="K12" s="22">
        <f>G12+C12</f>
        <v>105790.43757588</v>
      </c>
      <c r="L12" s="2"/>
    </row>
    <row r="13" spans="1:14" x14ac:dyDescent="0.25">
      <c r="A13" s="2" t="s">
        <v>47</v>
      </c>
      <c r="B13" s="2"/>
      <c r="C13" s="44">
        <f>C12/K12</f>
        <v>0.71452051156950913</v>
      </c>
      <c r="D13" s="2"/>
      <c r="E13" s="2" t="s">
        <v>48</v>
      </c>
      <c r="F13" s="2"/>
      <c r="G13" s="45">
        <f>G12/K12</f>
        <v>0.28547948843049087</v>
      </c>
      <c r="H13" s="2"/>
      <c r="I13" s="2"/>
      <c r="J13" s="2"/>
      <c r="K13" s="2"/>
      <c r="L13" s="2"/>
      <c r="M13" s="36"/>
    </row>
    <row r="14" spans="1:14" x14ac:dyDescent="0.25">
      <c r="A14" s="2" t="s">
        <v>49</v>
      </c>
      <c r="B14" s="2"/>
      <c r="C14" s="46">
        <f>D7+D8*(D9)</f>
        <v>8.2350000000000007E-2</v>
      </c>
      <c r="D14" s="2"/>
      <c r="E14" s="2" t="s">
        <v>50</v>
      </c>
      <c r="F14" s="2"/>
      <c r="G14" s="47">
        <v>0.04</v>
      </c>
      <c r="H14" s="2"/>
      <c r="I14" s="48" t="s">
        <v>1</v>
      </c>
      <c r="J14" s="49"/>
      <c r="K14" s="70">
        <f>C13*C14+G14*G13*(1-D6)</f>
        <v>6.782994225944837E-2</v>
      </c>
      <c r="L14" s="2"/>
    </row>
    <row r="15" spans="1:14" x14ac:dyDescent="0.25">
      <c r="D15" s="36"/>
      <c r="G15" s="36"/>
      <c r="J15" s="36"/>
      <c r="M15" s="36"/>
    </row>
    <row r="16" spans="1:14" x14ac:dyDescent="0.25">
      <c r="A16" t="s">
        <v>40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 t="s">
        <v>40</v>
      </c>
      <c r="J16" t="s">
        <v>40</v>
      </c>
      <c r="K16" t="s">
        <v>40</v>
      </c>
      <c r="L16" t="s">
        <v>40</v>
      </c>
      <c r="M16" t="s">
        <v>40</v>
      </c>
      <c r="N16" t="s">
        <v>40</v>
      </c>
    </row>
    <row r="17" spans="4:13" x14ac:dyDescent="0.25">
      <c r="D17" s="36"/>
      <c r="G17" s="36"/>
      <c r="J17" s="36"/>
      <c r="M17" s="36"/>
    </row>
    <row r="21" spans="4:13" x14ac:dyDescent="0.25">
      <c r="D21" s="36"/>
      <c r="E21" s="36"/>
      <c r="F21" s="36"/>
      <c r="G21" s="36"/>
      <c r="H21" s="36"/>
      <c r="I21" s="36"/>
      <c r="J21" s="36"/>
      <c r="K21" s="36"/>
      <c r="L21" s="36"/>
      <c r="M21" s="3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C471E9-7A90-4972-BBDB-AEF67D9678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 DCF</vt:lpstr>
      <vt:lpstr>WACC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2023-05-03T08:58:35Z</dcterms:created>
  <dcterms:modified xsi:type="dcterms:W3CDTF">2023-05-19T16:16:31Z</dcterms:modified>
</cp:coreProperties>
</file>