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B2D8235B-D35E-4F9E-AC6D-6848C2E0A97B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LOVE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3" i="1" l="1"/>
  <c r="Q23" i="1"/>
  <c r="O23" i="1"/>
  <c r="N23" i="1"/>
  <c r="N20" i="1"/>
  <c r="L23" i="1"/>
  <c r="M23" i="1"/>
  <c r="M20" i="1"/>
  <c r="J23" i="1"/>
  <c r="K23" i="1"/>
  <c r="I23" i="1"/>
  <c r="J20" i="1"/>
  <c r="K20" i="1" s="1"/>
  <c r="L20" i="1" s="1"/>
  <c r="I20" i="1"/>
  <c r="C65" i="1"/>
  <c r="K65" i="1"/>
  <c r="K64" i="1"/>
  <c r="K61" i="1"/>
  <c r="K62" i="1"/>
  <c r="H53" i="1"/>
  <c r="I25" i="1"/>
  <c r="L25" i="1"/>
  <c r="M25" i="1"/>
  <c r="N25" i="1"/>
  <c r="O25" i="1"/>
  <c r="P25" i="1"/>
  <c r="Q25" i="1"/>
  <c r="H25" i="1"/>
  <c r="C64" i="1" l="1"/>
  <c r="L47" i="1"/>
  <c r="M47" i="1"/>
  <c r="N47" i="1"/>
  <c r="O47" i="1"/>
  <c r="P47" i="1"/>
  <c r="Q47" i="1"/>
  <c r="K47" i="1"/>
  <c r="H32" i="1"/>
  <c r="H34" i="1" s="1"/>
  <c r="H29" i="1"/>
  <c r="G29" i="1"/>
  <c r="H27" i="1"/>
  <c r="J17" i="1"/>
  <c r="K17" i="1"/>
  <c r="L17" i="1" s="1"/>
  <c r="M17" i="1" s="1"/>
  <c r="N17" i="1" s="1"/>
  <c r="O17" i="1" s="1"/>
  <c r="P17" i="1" s="1"/>
  <c r="Q17" i="1" s="1"/>
  <c r="I17" i="1"/>
  <c r="G55" i="1"/>
  <c r="C52" i="1"/>
  <c r="D52" i="1"/>
  <c r="E52" i="1"/>
  <c r="F52" i="1"/>
  <c r="G52" i="1"/>
  <c r="C34" i="1"/>
  <c r="D34" i="1"/>
  <c r="E34" i="1"/>
  <c r="F34" i="1"/>
  <c r="G34" i="1"/>
  <c r="G32" i="1"/>
  <c r="C32" i="1"/>
  <c r="D32" i="1"/>
  <c r="E32" i="1"/>
  <c r="F32" i="1"/>
  <c r="C29" i="1"/>
  <c r="D29" i="1"/>
  <c r="E29" i="1"/>
  <c r="F29" i="1"/>
  <c r="C20" i="1"/>
  <c r="D20" i="1"/>
  <c r="E20" i="1"/>
  <c r="F20" i="1"/>
  <c r="G20" i="1"/>
  <c r="C12" i="2"/>
  <c r="G30" i="1"/>
  <c r="D6" i="2"/>
  <c r="G12" i="2"/>
  <c r="C27" i="1" l="1"/>
  <c r="D27" i="1"/>
  <c r="E27" i="1"/>
  <c r="F27" i="1"/>
  <c r="G27" i="1"/>
  <c r="C23" i="1"/>
  <c r="D23" i="1"/>
  <c r="E23" i="1"/>
  <c r="F23" i="1"/>
  <c r="G23" i="1"/>
  <c r="H11" i="1"/>
  <c r="H19" i="1" s="1"/>
  <c r="C14" i="2"/>
  <c r="E47" i="1"/>
  <c r="F47" i="1"/>
  <c r="G47" i="1"/>
  <c r="H47" i="1" s="1"/>
  <c r="I47" i="1" s="1"/>
  <c r="J47" i="1" s="1"/>
  <c r="D47" i="1"/>
  <c r="C47" i="1"/>
  <c r="C44" i="1"/>
  <c r="E44" i="1"/>
  <c r="G44" i="1"/>
  <c r="E30" i="1"/>
  <c r="C30" i="1"/>
  <c r="F50" i="1"/>
  <c r="G50" i="1"/>
  <c r="F44" i="1"/>
  <c r="F16" i="1"/>
  <c r="F53" i="1" s="1"/>
  <c r="E16" i="1"/>
  <c r="G16" i="1"/>
  <c r="D50" i="1"/>
  <c r="C50" i="1"/>
  <c r="D44" i="1"/>
  <c r="D42" i="1"/>
  <c r="D16" i="1"/>
  <c r="D53" i="1" s="1"/>
  <c r="C16" i="1"/>
  <c r="C53" i="1" s="1"/>
  <c r="G12" i="1"/>
  <c r="F12" i="1"/>
  <c r="E12" i="1"/>
  <c r="D12" i="1"/>
  <c r="I9" i="1"/>
  <c r="J9" i="1" s="1"/>
  <c r="K9" i="1" s="1"/>
  <c r="L9" i="1" s="1"/>
  <c r="M9" i="1" s="1"/>
  <c r="N9" i="1" s="1"/>
  <c r="O9" i="1" s="1"/>
  <c r="P9" i="1" s="1"/>
  <c r="Q9" i="1" s="1"/>
  <c r="E53" i="1" l="1"/>
  <c r="G36" i="1"/>
  <c r="G53" i="1"/>
  <c r="D17" i="1"/>
  <c r="F17" i="1"/>
  <c r="H26" i="1"/>
  <c r="H22" i="1"/>
  <c r="H43" i="1"/>
  <c r="I11" i="1"/>
  <c r="H46" i="1"/>
  <c r="H49" i="1"/>
  <c r="E50" i="1"/>
  <c r="K12" i="2"/>
  <c r="H16" i="1"/>
  <c r="C17" i="1"/>
  <c r="G17" i="1"/>
  <c r="E17" i="1"/>
  <c r="D30" i="1"/>
  <c r="F30" i="1"/>
  <c r="E36" i="1" l="1"/>
  <c r="E55" i="1" s="1"/>
  <c r="I43" i="1"/>
  <c r="I19" i="1"/>
  <c r="E40" i="1"/>
  <c r="C36" i="1"/>
  <c r="C55" i="1" s="1"/>
  <c r="J11" i="1"/>
  <c r="I26" i="1"/>
  <c r="I22" i="1"/>
  <c r="I46" i="1"/>
  <c r="H14" i="1"/>
  <c r="C13" i="2"/>
  <c r="G13" i="2"/>
  <c r="F36" i="1"/>
  <c r="F55" i="1" s="1"/>
  <c r="D36" i="1"/>
  <c r="I49" i="1"/>
  <c r="I16" i="1"/>
  <c r="I29" i="1" l="1"/>
  <c r="I32" i="1" s="1"/>
  <c r="I34" i="1" s="1"/>
  <c r="J26" i="1"/>
  <c r="J19" i="1"/>
  <c r="H30" i="1"/>
  <c r="D40" i="1"/>
  <c r="D55" i="1"/>
  <c r="H36" i="1"/>
  <c r="G40" i="1"/>
  <c r="J46" i="1"/>
  <c r="C40" i="1"/>
  <c r="F40" i="1"/>
  <c r="J43" i="1"/>
  <c r="J25" i="1" s="1"/>
  <c r="J22" i="1"/>
  <c r="C37" i="1"/>
  <c r="E37" i="1"/>
  <c r="G37" i="1"/>
  <c r="K14" i="2"/>
  <c r="D5" i="1" s="1"/>
  <c r="I14" i="1"/>
  <c r="J16" i="1"/>
  <c r="K11" i="1"/>
  <c r="K19" i="1" s="1"/>
  <c r="F37" i="1"/>
  <c r="D37" i="1"/>
  <c r="J49" i="1"/>
  <c r="J29" i="1" l="1"/>
  <c r="J32" i="1" s="1"/>
  <c r="J34" i="1" s="1"/>
  <c r="H37" i="1"/>
  <c r="H39" i="1"/>
  <c r="H52" i="1" s="1"/>
  <c r="H55" i="1" s="1"/>
  <c r="H56" i="1" s="1"/>
  <c r="I36" i="1"/>
  <c r="I37" i="1" s="1"/>
  <c r="I30" i="1"/>
  <c r="J14" i="1"/>
  <c r="K22" i="1"/>
  <c r="K29" i="1" s="1"/>
  <c r="K32" i="1" s="1"/>
  <c r="K34" i="1" s="1"/>
  <c r="K26" i="1"/>
  <c r="K49" i="1"/>
  <c r="K46" i="1"/>
  <c r="K43" i="1"/>
  <c r="K25" i="1" s="1"/>
  <c r="K16" i="1"/>
  <c r="L11" i="1"/>
  <c r="L19" i="1" s="1"/>
  <c r="J36" i="1" l="1"/>
  <c r="I39" i="1"/>
  <c r="J30" i="1"/>
  <c r="K36" i="1"/>
  <c r="K37" i="1" s="1"/>
  <c r="L26" i="1"/>
  <c r="L22" i="1"/>
  <c r="L29" i="1" s="1"/>
  <c r="L32" i="1" s="1"/>
  <c r="L34" i="1" s="1"/>
  <c r="L46" i="1"/>
  <c r="L43" i="1"/>
  <c r="K14" i="1"/>
  <c r="L16" i="1"/>
  <c r="M11" i="1"/>
  <c r="M19" i="1" s="1"/>
  <c r="L49" i="1"/>
  <c r="J37" i="1" l="1"/>
  <c r="J39" i="1"/>
  <c r="K39" i="1"/>
  <c r="K52" i="1" s="1"/>
  <c r="I53" i="1"/>
  <c r="I52" i="1"/>
  <c r="I55" i="1" s="1"/>
  <c r="I56" i="1" s="1"/>
  <c r="K30" i="1"/>
  <c r="L36" i="1"/>
  <c r="L37" i="1" s="1"/>
  <c r="L30" i="1"/>
  <c r="L14" i="1"/>
  <c r="M22" i="1"/>
  <c r="M29" i="1" s="1"/>
  <c r="M32" i="1" s="1"/>
  <c r="M34" i="1" s="1"/>
  <c r="M26" i="1"/>
  <c r="M49" i="1"/>
  <c r="M46" i="1"/>
  <c r="M43" i="1"/>
  <c r="M16" i="1"/>
  <c r="M14" i="1" s="1"/>
  <c r="N11" i="1"/>
  <c r="N19" i="1" s="1"/>
  <c r="K53" i="1" l="1"/>
  <c r="L39" i="1"/>
  <c r="J53" i="1"/>
  <c r="J52" i="1"/>
  <c r="J55" i="1" s="1"/>
  <c r="J56" i="1" s="1"/>
  <c r="K55" i="1"/>
  <c r="K56" i="1" s="1"/>
  <c r="L52" i="1"/>
  <c r="N26" i="1"/>
  <c r="N22" i="1"/>
  <c r="N29" i="1" s="1"/>
  <c r="N32" i="1" s="1"/>
  <c r="N34" i="1" s="1"/>
  <c r="N46" i="1"/>
  <c r="N43" i="1"/>
  <c r="N16" i="1"/>
  <c r="O11" i="1"/>
  <c r="O19" i="1" s="1"/>
  <c r="N49" i="1"/>
  <c r="L53" i="1" l="1"/>
  <c r="M36" i="1"/>
  <c r="M30" i="1"/>
  <c r="L55" i="1"/>
  <c r="L56" i="1" s="1"/>
  <c r="N14" i="1"/>
  <c r="O22" i="1"/>
  <c r="O29" i="1" s="1"/>
  <c r="O32" i="1" s="1"/>
  <c r="O34" i="1" s="1"/>
  <c r="O26" i="1"/>
  <c r="O46" i="1"/>
  <c r="O43" i="1"/>
  <c r="O16" i="1"/>
  <c r="P11" i="1"/>
  <c r="P19" i="1" s="1"/>
  <c r="O49" i="1"/>
  <c r="M37" i="1" l="1"/>
  <c r="M39" i="1"/>
  <c r="M53" i="1" s="1"/>
  <c r="N36" i="1"/>
  <c r="N37" i="1" s="1"/>
  <c r="N30" i="1"/>
  <c r="O30" i="1"/>
  <c r="P26" i="1"/>
  <c r="P22" i="1"/>
  <c r="P29" i="1" s="1"/>
  <c r="P32" i="1" s="1"/>
  <c r="P34" i="1" s="1"/>
  <c r="P46" i="1"/>
  <c r="P43" i="1"/>
  <c r="O14" i="1"/>
  <c r="P16" i="1"/>
  <c r="Q11" i="1"/>
  <c r="Q19" i="1" s="1"/>
  <c r="P49" i="1"/>
  <c r="O36" i="1" l="1"/>
  <c r="N39" i="1"/>
  <c r="N52" i="1" s="1"/>
  <c r="N55" i="1" s="1"/>
  <c r="N56" i="1" s="1"/>
  <c r="M52" i="1"/>
  <c r="M55" i="1" s="1"/>
  <c r="M56" i="1" s="1"/>
  <c r="P36" i="1"/>
  <c r="P37" i="1" s="1"/>
  <c r="Q22" i="1"/>
  <c r="Q29" i="1" s="1"/>
  <c r="Q32" i="1" s="1"/>
  <c r="Q34" i="1" s="1"/>
  <c r="Q26" i="1"/>
  <c r="Q46" i="1"/>
  <c r="Q43" i="1"/>
  <c r="Q16" i="1"/>
  <c r="Q49" i="1"/>
  <c r="P14" i="1"/>
  <c r="P39" i="1" l="1"/>
  <c r="P52" i="1" s="1"/>
  <c r="O37" i="1"/>
  <c r="O39" i="1"/>
  <c r="N53" i="1"/>
  <c r="P30" i="1"/>
  <c r="Q36" i="1"/>
  <c r="Q14" i="1"/>
  <c r="Q37" i="1" l="1"/>
  <c r="Q39" i="1"/>
  <c r="Q52" i="1" s="1"/>
  <c r="Q55" i="1" s="1"/>
  <c r="P53" i="1"/>
  <c r="Q53" i="1"/>
  <c r="Q30" i="1"/>
  <c r="O53" i="1"/>
  <c r="O52" i="1"/>
  <c r="O55" i="1" s="1"/>
  <c r="O56" i="1" s="1"/>
  <c r="P55" i="1"/>
  <c r="P56" i="1" s="1"/>
  <c r="C58" i="1" l="1"/>
  <c r="C59" i="1" s="1"/>
  <c r="Q56" i="1"/>
  <c r="F61" i="1" l="1"/>
  <c r="F63" i="1" s="1"/>
  <c r="F66" i="1" s="1"/>
  <c r="R53" i="1" l="1"/>
  <c r="S53" i="1" s="1"/>
  <c r="T53" i="1" s="1"/>
  <c r="U53" i="1" s="1"/>
  <c r="V53" i="1" s="1"/>
  <c r="W53" i="1" s="1"/>
  <c r="X53" i="1" s="1"/>
  <c r="Y53" i="1" s="1"/>
  <c r="Z53" i="1" s="1"/>
  <c r="AA53" i="1" s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A53" i="1" s="1"/>
  <c r="BB53" i="1" s="1"/>
  <c r="BC53" i="1" s="1"/>
  <c r="BD53" i="1" s="1"/>
  <c r="BE53" i="1" s="1"/>
  <c r="BF53" i="1" s="1"/>
  <c r="BG53" i="1" s="1"/>
  <c r="BH53" i="1" s="1"/>
  <c r="BI53" i="1" s="1"/>
  <c r="BJ53" i="1" s="1"/>
  <c r="BK53" i="1" s="1"/>
  <c r="BL53" i="1" s="1"/>
  <c r="BM53" i="1" s="1"/>
  <c r="BN53" i="1" s="1"/>
  <c r="BO53" i="1" s="1"/>
  <c r="BP53" i="1" s="1"/>
  <c r="BQ53" i="1" s="1"/>
  <c r="BR53" i="1" s="1"/>
  <c r="BS53" i="1" s="1"/>
  <c r="BT53" i="1" s="1"/>
  <c r="BU53" i="1" s="1"/>
  <c r="BV53" i="1" s="1"/>
  <c r="BW53" i="1" s="1"/>
  <c r="BX53" i="1" s="1"/>
  <c r="BY53" i="1" s="1"/>
  <c r="BZ53" i="1" s="1"/>
  <c r="CA53" i="1" s="1"/>
  <c r="CB53" i="1" s="1"/>
  <c r="CC53" i="1" s="1"/>
  <c r="CD53" i="1" s="1"/>
  <c r="CE53" i="1" s="1"/>
  <c r="CF53" i="1" s="1"/>
  <c r="CG53" i="1" s="1"/>
  <c r="E58" i="1" l="1"/>
  <c r="G61" i="1" s="1"/>
  <c r="G63" i="1" l="1"/>
  <c r="G66" i="1" s="1"/>
  <c r="C66" i="1" s="1"/>
  <c r="K60" i="1" s="1"/>
  <c r="I6" i="1" l="1"/>
  <c r="M5" i="1" s="1"/>
</calcChain>
</file>

<file path=xl/sharedStrings.xml><?xml version="1.0" encoding="utf-8"?>
<sst xmlns="http://schemas.openxmlformats.org/spreadsheetml/2006/main" count="80" uniqueCount="54">
  <si>
    <t xml:space="preserve">Valuation Assumptions: </t>
  </si>
  <si>
    <t>WACC</t>
  </si>
  <si>
    <t>Current price   :</t>
  </si>
  <si>
    <t xml:space="preserve">Upside/Downside : 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</si>
  <si>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</si>
  <si>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</si>
  <si>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</si>
  <si>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</si>
  <si>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</si>
  <si>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</si>
  <si>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</si>
  <si>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</si>
  <si>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</si>
  <si>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</si>
  <si>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</si>
  <si>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</si>
  <si>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</si>
  <si>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</si>
  <si>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</si>
  <si>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</si>
  <si>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</si>
  <si>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</si>
  <si>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</si>
  <si>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</si>
  <si>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</si>
  <si>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</si>
  <si>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</si>
  <si>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</si>
  <si>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</si>
  <si>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</si>
  <si>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</si>
  <si>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</si>
  <si>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</si>
  <si>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</si>
  <si>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</si>
  <si>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</si>
  <si>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</si>
  <si>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</si>
  <si>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</si>
  <si>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</si>
  <si>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</si>
  <si>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</si>
  <si>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</si>
  <si>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</si>
  <si>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</si>
  <si>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</si>
  <si>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</si>
  <si>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</si>
  <si>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</si>
  <si>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</si>
  <si>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</si>
  <si>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SG&amp;A</t>
  </si>
  <si>
    <t>Lovesac DCF</t>
  </si>
  <si>
    <t>Adv&amp;M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</si>
</sst>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9" fillId="2" borderId="4" xfId="1" applyNumberFormat="1" applyFont="1" applyFill="1" applyBorder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3" fontId="3" fillId="8" borderId="0" xfId="0" applyNumberFormat="1" applyFont="1" applyFill="1"/>
    <xf numFmtId="164" fontId="8" fillId="2" borderId="0" xfId="1" applyNumberFormat="1" applyFont="1" applyFill="1" applyBorder="1"/>
    <xf numFmtId="164" fontId="9" fillId="2" borderId="0" xfId="1" applyNumberFormat="1" applyFont="1" applyFill="1" applyBorder="1"/>
    <xf numFmtId="1" fontId="3" fillId="2" borderId="1" xfId="0" applyNumberFormat="1" applyFont="1" applyFill="1" applyBorder="1"/>
    <xf numFmtId="0" fontId="6" fillId="4" borderId="4" xfId="0" applyFont="1" applyFill="1" applyBorder="1"/>
    <xf numFmtId="164" fontId="8" fillId="2" borderId="4" xfId="1" applyNumberFormat="1" applyFont="1" applyFill="1" applyBorder="1"/>
    <xf numFmtId="1" fontId="3" fillId="2" borderId="12" xfId="0" applyNumberFormat="1" applyFont="1" applyFill="1" applyBorder="1"/>
    <xf numFmtId="10" fontId="8" fillId="2" borderId="4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64" fontId="3" fillId="2" borderId="4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3" fontId="3" fillId="0" borderId="4" xfId="0" applyNumberFormat="1" applyFont="1" applyBorder="1"/>
    <xf numFmtId="164" fontId="8" fillId="2" borderId="4" xfId="0" applyNumberFormat="1" applyFont="1" applyFill="1" applyBorder="1"/>
    <xf numFmtId="164" fontId="8" fillId="2" borderId="0" xfId="0" applyNumberFormat="1" applyFont="1" applyFill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3" fontId="0" fillId="2" borderId="1" xfId="0" applyNumberFormat="1" applyFill="1" applyBorder="1"/>
    <xf numFmtId="0" fontId="3" fillId="2" borderId="0" xfId="0" applyFont="1" applyFill="1" applyBorder="1"/>
    <xf numFmtId="1" fontId="3" fillId="2" borderId="0" xfId="0" applyNumberFormat="1" applyFont="1" applyFill="1" applyBorder="1"/>
    <xf numFmtId="3" fontId="3" fillId="2" borderId="0" xfId="0" applyNumberFormat="1" applyFont="1" applyFill="1" applyBorder="1"/>
    <xf numFmtId="0" fontId="0" fillId="2" borderId="0" xfId="0" applyFill="1" applyBorder="1"/>
    <xf numFmtId="164" fontId="3" fillId="2" borderId="0" xfId="0" applyNumberFormat="1" applyFont="1" applyFill="1" applyBorder="1"/>
    <xf numFmtId="0" fontId="12" fillId="2" borderId="0" xfId="0" applyFont="1" applyFill="1"/>
    <xf numFmtId="2" fontId="3" fillId="2" borderId="0" xfId="0" applyNumberFormat="1" applyFont="1" applyFill="1" applyAlignment="1">
      <alignment horizontal="left"/>
    </xf>
    <xf numFmtId="10" fontId="8" fillId="2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G67"/>
  <sheetViews>
    <sheetView tabSelected="1" workbookViewId="0">
      <selection activeCell="I7" sqref="I7"/>
    </sheetView>
  </sheetViews>
  <sheetFormatPr defaultRowHeight="15" x14ac:dyDescent="0.25"/>
  <cols>
    <col min="1" max="1" width="7.7109375" style="2" customWidth="1"/>
    <col min="2" max="2" width="14.5703125" style="2" customWidth="1"/>
    <col min="3" max="12" width="9.140625" style="2"/>
    <col min="13" max="13" width="10.7109375" style="2" bestFit="1" customWidth="1"/>
    <col min="14" max="14" width="9.140625" style="2"/>
    <col min="15" max="15" width="10.7109375" style="2" customWidth="1"/>
    <col min="16" max="17" width="9.140625" style="2"/>
    <col min="18" max="16384" width="9.140625" style="54"/>
  </cols>
  <sheetData>
    <row r="1" spans="1:8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85" ht="23.25" x14ac:dyDescent="0.35">
      <c r="A2" s="3"/>
      <c r="B2" s="4" t="s">
        <v>52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85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85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90"/>
    </row>
    <row r="5" spans="1:85" x14ac:dyDescent="0.25">
      <c r="A5" s="1"/>
      <c r="B5" s="1"/>
      <c r="C5" s="1"/>
      <c r="D5" s="8">
        <f>WACC!K14</f>
        <v>0.1521939264682019</v>
      </c>
      <c r="F5" s="1"/>
      <c r="G5" s="1" t="s">
        <v>2</v>
      </c>
      <c r="H5" s="1"/>
      <c r="I5" s="7">
        <v>26.3</v>
      </c>
      <c r="J5" s="1"/>
      <c r="K5" s="1" t="s">
        <v>3</v>
      </c>
      <c r="L5" s="1"/>
      <c r="M5" s="76">
        <f>(I6/I5)-1</f>
        <v>5.8254022983268872E-2</v>
      </c>
      <c r="N5" s="1"/>
      <c r="O5" s="1"/>
      <c r="P5" s="1"/>
    </row>
    <row r="6" spans="1:85" x14ac:dyDescent="0.25">
      <c r="A6" s="1"/>
      <c r="B6" s="1"/>
      <c r="C6" s="1"/>
      <c r="D6" s="8">
        <v>0.02</v>
      </c>
      <c r="F6" s="1"/>
      <c r="G6" s="1" t="s">
        <v>4</v>
      </c>
      <c r="H6" s="1"/>
      <c r="I6" s="91">
        <f>C66</f>
        <v>27.832080804459974</v>
      </c>
      <c r="J6" s="1"/>
      <c r="K6" s="1" t="s">
        <v>50</v>
      </c>
      <c r="L6" s="1"/>
      <c r="M6" s="75">
        <v>45052</v>
      </c>
      <c r="N6" s="1"/>
      <c r="O6" s="1"/>
      <c r="P6" s="1"/>
    </row>
    <row r="7" spans="1:85" x14ac:dyDescent="0.25">
      <c r="B7" s="75"/>
      <c r="C7" s="1"/>
      <c r="D7" s="9"/>
      <c r="E7" s="1"/>
      <c r="F7" s="1"/>
      <c r="G7" s="1"/>
      <c r="H7" s="1"/>
      <c r="I7" s="1"/>
      <c r="J7" s="1"/>
      <c r="K7" s="60"/>
      <c r="L7" s="1"/>
      <c r="M7" s="1"/>
      <c r="N7" s="1"/>
      <c r="O7" s="1"/>
      <c r="P7" s="1"/>
    </row>
    <row r="8" spans="1:85" x14ac:dyDescent="0.25">
      <c r="A8" s="1"/>
      <c r="B8" s="12"/>
      <c r="C8" s="1"/>
      <c r="D8" s="40"/>
      <c r="E8" s="1"/>
      <c r="F8" s="1"/>
      <c r="G8" s="12"/>
      <c r="H8" s="1"/>
      <c r="I8" s="1"/>
      <c r="J8" s="1"/>
      <c r="K8" s="1"/>
      <c r="L8" s="1"/>
      <c r="M8" s="1"/>
      <c r="N8" s="1"/>
      <c r="O8" s="1"/>
      <c r="P8" s="1"/>
    </row>
    <row r="9" spans="1:85" x14ac:dyDescent="0.25">
      <c r="A9" s="1"/>
      <c r="B9" s="1"/>
      <c r="C9" s="1"/>
      <c r="D9" s="1"/>
      <c r="E9" s="1"/>
      <c r="F9" s="1"/>
      <c r="G9" s="1"/>
      <c r="H9" s="1">
        <v>1</v>
      </c>
      <c r="I9" s="1">
        <f>H9+1</f>
        <v>2</v>
      </c>
      <c r="J9" s="1">
        <f t="shared" ref="J9:Q9" si="0">I9+1</f>
        <v>3</v>
      </c>
      <c r="K9" s="1">
        <f t="shared" si="0"/>
        <v>4</v>
      </c>
      <c r="L9" s="1">
        <f t="shared" si="0"/>
        <v>5</v>
      </c>
      <c r="M9" s="1">
        <f t="shared" si="0"/>
        <v>6</v>
      </c>
      <c r="N9" s="1">
        <f t="shared" si="0"/>
        <v>7</v>
      </c>
      <c r="O9" s="1">
        <f t="shared" si="0"/>
        <v>8</v>
      </c>
      <c r="P9" s="1">
        <f t="shared" si="0"/>
        <v>9</v>
      </c>
      <c r="Q9" s="1">
        <f t="shared" si="0"/>
        <v>10</v>
      </c>
    </row>
    <row r="10" spans="1:85" x14ac:dyDescent="0.25">
      <c r="A10" s="1"/>
      <c r="B10" s="10" t="s">
        <v>5</v>
      </c>
      <c r="C10" s="10">
        <v>2018</v>
      </c>
      <c r="D10" s="11">
        <v>2019</v>
      </c>
      <c r="E10" s="10">
        <v>2020</v>
      </c>
      <c r="F10" s="10">
        <v>2021</v>
      </c>
      <c r="G10" s="10">
        <v>2022</v>
      </c>
      <c r="H10" s="68">
        <v>2023</v>
      </c>
      <c r="I10" s="11">
        <v>2024</v>
      </c>
      <c r="J10" s="11">
        <v>2025</v>
      </c>
      <c r="K10" s="11">
        <v>2026</v>
      </c>
      <c r="L10" s="11">
        <v>2027</v>
      </c>
      <c r="M10" s="11">
        <v>2028</v>
      </c>
      <c r="N10" s="11">
        <v>2029</v>
      </c>
      <c r="O10" s="11">
        <v>2030</v>
      </c>
      <c r="P10" s="11">
        <v>2031</v>
      </c>
      <c r="Q10" s="11">
        <v>2032</v>
      </c>
      <c r="R10" s="10">
        <v>2033</v>
      </c>
      <c r="S10" s="10">
        <v>2034</v>
      </c>
      <c r="T10" s="10">
        <v>2035</v>
      </c>
      <c r="U10" s="10">
        <v>2036</v>
      </c>
      <c r="V10" s="10">
        <v>2037</v>
      </c>
      <c r="W10" s="10">
        <v>2038</v>
      </c>
      <c r="X10" s="10">
        <v>2039</v>
      </c>
      <c r="Y10" s="10">
        <v>2040</v>
      </c>
      <c r="Z10" s="10">
        <v>2041</v>
      </c>
      <c r="AA10" s="10">
        <v>2042</v>
      </c>
      <c r="AB10" s="10">
        <v>2043</v>
      </c>
      <c r="AC10" s="10">
        <v>2044</v>
      </c>
      <c r="AD10" s="10">
        <v>2045</v>
      </c>
      <c r="AE10" s="10">
        <v>2046</v>
      </c>
      <c r="AF10" s="10">
        <v>2047</v>
      </c>
      <c r="AG10" s="10">
        <v>2048</v>
      </c>
      <c r="AH10" s="10">
        <v>2049</v>
      </c>
      <c r="AI10" s="10">
        <v>2050</v>
      </c>
      <c r="AJ10" s="10">
        <v>2051</v>
      </c>
      <c r="AK10" s="10">
        <v>2052</v>
      </c>
      <c r="AL10" s="10">
        <v>2053</v>
      </c>
      <c r="AM10" s="10">
        <v>2054</v>
      </c>
      <c r="AN10" s="10">
        <v>2055</v>
      </c>
      <c r="AO10" s="10">
        <v>2056</v>
      </c>
      <c r="AP10" s="10">
        <v>2057</v>
      </c>
      <c r="AQ10" s="10">
        <v>2058</v>
      </c>
      <c r="AR10" s="10">
        <v>2059</v>
      </c>
      <c r="AS10" s="10">
        <v>2060</v>
      </c>
      <c r="AT10" s="10">
        <v>2061</v>
      </c>
      <c r="AU10" s="10">
        <v>2062</v>
      </c>
      <c r="AV10" s="10">
        <v>2063</v>
      </c>
      <c r="AW10" s="10">
        <v>2064</v>
      </c>
      <c r="AX10" s="10">
        <v>2065</v>
      </c>
      <c r="AY10" s="10">
        <v>2066</v>
      </c>
      <c r="AZ10" s="10">
        <v>2067</v>
      </c>
      <c r="BA10" s="10">
        <v>2068</v>
      </c>
      <c r="BB10" s="10">
        <v>2069</v>
      </c>
      <c r="BC10" s="10">
        <v>2070</v>
      </c>
      <c r="BD10" s="10">
        <v>2071</v>
      </c>
      <c r="BE10" s="10">
        <v>2072</v>
      </c>
      <c r="BF10" s="10">
        <v>2073</v>
      </c>
      <c r="BG10" s="10">
        <v>2074</v>
      </c>
      <c r="BH10" s="10">
        <v>2075</v>
      </c>
      <c r="BI10" s="10">
        <v>2076</v>
      </c>
      <c r="BJ10" s="10">
        <v>2077</v>
      </c>
      <c r="BK10" s="10">
        <v>2078</v>
      </c>
      <c r="BL10" s="10">
        <v>2079</v>
      </c>
      <c r="BM10" s="10">
        <v>2080</v>
      </c>
      <c r="BN10" s="10">
        <v>2081</v>
      </c>
      <c r="BO10" s="10">
        <v>2082</v>
      </c>
      <c r="BP10" s="10">
        <v>2083</v>
      </c>
      <c r="BQ10" s="10">
        <v>2084</v>
      </c>
      <c r="BR10" s="10">
        <v>2085</v>
      </c>
      <c r="BS10" s="10">
        <v>2086</v>
      </c>
      <c r="BT10" s="10">
        <v>2087</v>
      </c>
      <c r="BU10" s="10">
        <v>2088</v>
      </c>
      <c r="BV10" s="10">
        <v>2089</v>
      </c>
      <c r="BW10" s="10">
        <v>2090</v>
      </c>
      <c r="BX10" s="10">
        <v>2091</v>
      </c>
      <c r="BY10" s="10">
        <v>2092</v>
      </c>
      <c r="BZ10" s="10">
        <v>2093</v>
      </c>
      <c r="CA10" s="10">
        <v>2094</v>
      </c>
      <c r="CB10" s="10">
        <v>2095</v>
      </c>
      <c r="CC10" s="10">
        <v>2096</v>
      </c>
      <c r="CD10" s="10">
        <v>2097</v>
      </c>
      <c r="CE10" s="10">
        <v>2098</v>
      </c>
      <c r="CF10" s="10">
        <v>2099</v>
      </c>
      <c r="CG10" s="10">
        <v>2100</v>
      </c>
    </row>
    <row r="11" spans="1:85" x14ac:dyDescent="0.25">
      <c r="A11" s="1"/>
      <c r="B11" s="1" t="s">
        <v>6</v>
      </c>
      <c r="C11" s="12">
        <v>101810.413</v>
      </c>
      <c r="D11" s="12">
        <v>165881.29699999999</v>
      </c>
      <c r="E11" s="12">
        <v>320738</v>
      </c>
      <c r="F11" s="12">
        <v>498239</v>
      </c>
      <c r="G11" s="12">
        <v>651545</v>
      </c>
      <c r="H11" s="22">
        <f>G11*(1+H12)</f>
        <v>716699.5</v>
      </c>
      <c r="I11" s="19">
        <f t="shared" ref="I11:Q11" si="1">H11*(1+I12)</f>
        <v>817037.43</v>
      </c>
      <c r="J11" s="19">
        <f t="shared" si="1"/>
        <v>932239.70763000008</v>
      </c>
      <c r="K11" s="19">
        <f t="shared" si="1"/>
        <v>1053430.8696218999</v>
      </c>
      <c r="L11" s="19">
        <f t="shared" si="1"/>
        <v>1169308.2652803089</v>
      </c>
      <c r="M11" s="19">
        <f t="shared" si="1"/>
        <v>1251159.8438499307</v>
      </c>
      <c r="N11" s="19">
        <f t="shared" si="1"/>
        <v>1407554.824331172</v>
      </c>
      <c r="O11" s="19">
        <f t="shared" si="1"/>
        <v>1539864.9778183023</v>
      </c>
      <c r="P11" s="19">
        <f t="shared" si="1"/>
        <v>1684612.285733223</v>
      </c>
      <c r="Q11" s="19">
        <f t="shared" si="1"/>
        <v>1842965.8405921462</v>
      </c>
    </row>
    <row r="12" spans="1:85" x14ac:dyDescent="0.25">
      <c r="A12" s="1"/>
      <c r="B12" s="81" t="s">
        <v>7</v>
      </c>
      <c r="C12" s="82"/>
      <c r="D12" s="82">
        <f t="shared" ref="D12:G12" si="2">(D11/C11)-1</f>
        <v>0.62931562805859542</v>
      </c>
      <c r="E12" s="82">
        <f t="shared" si="2"/>
        <v>0.93353925849759922</v>
      </c>
      <c r="F12" s="82">
        <f t="shared" si="2"/>
        <v>0.55341431324008994</v>
      </c>
      <c r="G12" s="82">
        <f t="shared" si="2"/>
        <v>0.30769570427044046</v>
      </c>
      <c r="H12" s="69">
        <v>0.1</v>
      </c>
      <c r="I12" s="65">
        <v>0.14000000000000001</v>
      </c>
      <c r="J12" s="65">
        <v>0.14099999999999999</v>
      </c>
      <c r="K12" s="65">
        <v>0.13</v>
      </c>
      <c r="L12" s="65">
        <v>0.11</v>
      </c>
      <c r="M12" s="65">
        <v>7.0000000000000007E-2</v>
      </c>
      <c r="N12" s="65">
        <v>0.125</v>
      </c>
      <c r="O12" s="65">
        <v>9.4E-2</v>
      </c>
      <c r="P12" s="65">
        <v>9.4E-2</v>
      </c>
      <c r="Q12" s="65">
        <v>9.4E-2</v>
      </c>
    </row>
    <row r="13" spans="1:85" x14ac:dyDescent="0.25">
      <c r="A13" s="1"/>
      <c r="B13" s="6"/>
      <c r="C13" s="1"/>
      <c r="D13" s="1"/>
      <c r="E13" s="1"/>
      <c r="F13" s="1"/>
      <c r="G13" s="1"/>
      <c r="H13" s="13"/>
      <c r="I13" s="1"/>
      <c r="J13" s="1"/>
      <c r="K13" s="1"/>
      <c r="L13" s="1"/>
      <c r="M13" s="1"/>
      <c r="N13" s="1"/>
      <c r="O13" s="1"/>
      <c r="P13" s="1"/>
    </row>
    <row r="14" spans="1:85" x14ac:dyDescent="0.25">
      <c r="A14" s="1"/>
      <c r="B14" s="1" t="s">
        <v>8</v>
      </c>
      <c r="C14" s="12">
        <v>44593.260999999999</v>
      </c>
      <c r="D14" s="12">
        <v>75000.475999999995</v>
      </c>
      <c r="E14" s="12">
        <v>145966</v>
      </c>
      <c r="F14" s="12">
        <v>224894</v>
      </c>
      <c r="G14" s="38">
        <v>305719</v>
      </c>
      <c r="H14" s="70">
        <f>H11-H16</f>
        <v>336132.06549999997</v>
      </c>
      <c r="I14" s="67">
        <f t="shared" ref="I14:J14" si="3">I11-I16</f>
        <v>379105.36751999997</v>
      </c>
      <c r="J14" s="67">
        <f t="shared" si="3"/>
        <v>427898.02580216998</v>
      </c>
      <c r="K14" s="67">
        <f t="shared" ref="K14:Q14" si="4">K11-K16</f>
        <v>478257.61480834254</v>
      </c>
      <c r="L14" s="67">
        <f t="shared" si="4"/>
        <v>525019.41111085867</v>
      </c>
      <c r="M14" s="67">
        <f t="shared" si="4"/>
        <v>555514.97066936921</v>
      </c>
      <c r="N14" s="67">
        <f t="shared" si="4"/>
        <v>617916.5678813844</v>
      </c>
      <c r="O14" s="67">
        <f t="shared" si="4"/>
        <v>668301.40037314314</v>
      </c>
      <c r="P14" s="67">
        <f t="shared" si="4"/>
        <v>722698.67057955253</v>
      </c>
      <c r="Q14" s="67">
        <f t="shared" si="4"/>
        <v>781417.51641106978</v>
      </c>
    </row>
    <row r="15" spans="1:85" x14ac:dyDescent="0.25">
      <c r="A15" s="1"/>
      <c r="B15" s="18"/>
      <c r="C15" s="18"/>
      <c r="D15" s="18"/>
      <c r="E15" s="18"/>
      <c r="F15" s="18"/>
      <c r="G15" s="18"/>
      <c r="H15" s="13"/>
      <c r="I15" s="1"/>
      <c r="J15" s="1"/>
      <c r="K15" s="1"/>
      <c r="L15" s="1"/>
      <c r="M15" s="1"/>
      <c r="N15" s="1"/>
      <c r="O15" s="1"/>
      <c r="P15" s="1"/>
    </row>
    <row r="16" spans="1:85" x14ac:dyDescent="0.25">
      <c r="A16" s="1"/>
      <c r="B16" s="1" t="s">
        <v>9</v>
      </c>
      <c r="C16" s="12">
        <f t="shared" ref="C16:E16" si="5">C11-C14</f>
        <v>57217.152000000002</v>
      </c>
      <c r="D16" s="12">
        <f t="shared" si="5"/>
        <v>90880.820999999996</v>
      </c>
      <c r="E16" s="12">
        <f t="shared" si="5"/>
        <v>174772</v>
      </c>
      <c r="F16" s="12">
        <f>F11-F14</f>
        <v>273345</v>
      </c>
      <c r="G16" s="12">
        <f>G11-G14</f>
        <v>345826</v>
      </c>
      <c r="H16" s="22">
        <f>H11*H17</f>
        <v>380567.43450000003</v>
      </c>
      <c r="I16" s="19">
        <f t="shared" ref="I16:Q16" si="6">I11*I17</f>
        <v>437932.06248000008</v>
      </c>
      <c r="J16" s="19">
        <f t="shared" si="6"/>
        <v>504341.68182783009</v>
      </c>
      <c r="K16" s="19">
        <f t="shared" si="6"/>
        <v>575173.25481355737</v>
      </c>
      <c r="L16" s="19">
        <f t="shared" si="6"/>
        <v>644288.85416945023</v>
      </c>
      <c r="M16" s="19">
        <f t="shared" si="6"/>
        <v>695644.87318056147</v>
      </c>
      <c r="N16" s="19">
        <f t="shared" si="6"/>
        <v>789638.25644978764</v>
      </c>
      <c r="O16" s="19">
        <f t="shared" si="6"/>
        <v>871563.5774451592</v>
      </c>
      <c r="P16" s="19">
        <f t="shared" si="6"/>
        <v>961913.61515367043</v>
      </c>
      <c r="Q16" s="19">
        <f t="shared" si="6"/>
        <v>1061548.3241810764</v>
      </c>
    </row>
    <row r="17" spans="1:17" x14ac:dyDescent="0.25">
      <c r="A17" s="1"/>
      <c r="B17" s="81" t="s">
        <v>10</v>
      </c>
      <c r="C17" s="82">
        <f t="shared" ref="C17:G17" si="7">C16/C11</f>
        <v>0.56199705230544539</v>
      </c>
      <c r="D17" s="82">
        <f t="shared" si="7"/>
        <v>0.54786659282028638</v>
      </c>
      <c r="E17" s="82">
        <f t="shared" si="7"/>
        <v>0.54490581097344248</v>
      </c>
      <c r="F17" s="82">
        <f t="shared" si="7"/>
        <v>0.54862224755589184</v>
      </c>
      <c r="G17" s="82">
        <f t="shared" si="7"/>
        <v>0.53077838061837634</v>
      </c>
      <c r="H17" s="79">
        <v>0.53100000000000003</v>
      </c>
      <c r="I17" s="80">
        <f>H17+0.5%</f>
        <v>0.53600000000000003</v>
      </c>
      <c r="J17" s="80">
        <f t="shared" ref="J17:Q17" si="8">I17+0.5%</f>
        <v>0.54100000000000004</v>
      </c>
      <c r="K17" s="80">
        <f t="shared" si="8"/>
        <v>0.54600000000000004</v>
      </c>
      <c r="L17" s="80">
        <f t="shared" si="8"/>
        <v>0.55100000000000005</v>
      </c>
      <c r="M17" s="80">
        <f t="shared" si="8"/>
        <v>0.55600000000000005</v>
      </c>
      <c r="N17" s="80">
        <f t="shared" si="8"/>
        <v>0.56100000000000005</v>
      </c>
      <c r="O17" s="80">
        <f t="shared" si="8"/>
        <v>0.56600000000000006</v>
      </c>
      <c r="P17" s="80">
        <f t="shared" si="8"/>
        <v>0.57100000000000006</v>
      </c>
      <c r="Q17" s="80">
        <f t="shared" si="8"/>
        <v>0.57600000000000007</v>
      </c>
    </row>
    <row r="18" spans="1:17" x14ac:dyDescent="0.25">
      <c r="A18" s="1"/>
      <c r="B18" s="6"/>
      <c r="C18" s="1"/>
      <c r="D18" s="1"/>
      <c r="E18" s="1"/>
      <c r="F18" s="1"/>
      <c r="G18" s="1"/>
      <c r="H18" s="13"/>
      <c r="I18" s="1"/>
      <c r="J18" s="1"/>
      <c r="K18" s="1"/>
      <c r="L18" s="1"/>
      <c r="M18" s="1"/>
      <c r="N18" s="1"/>
      <c r="O18" s="1"/>
      <c r="P18" s="1"/>
    </row>
    <row r="19" spans="1:17" x14ac:dyDescent="0.25">
      <c r="A19" s="1"/>
      <c r="B19" s="1" t="s">
        <v>53</v>
      </c>
      <c r="C19" s="12">
        <v>9192.3580000000002</v>
      </c>
      <c r="D19" s="12">
        <v>18363.491000000002</v>
      </c>
      <c r="E19" s="12">
        <v>41925</v>
      </c>
      <c r="F19" s="12">
        <v>65078</v>
      </c>
      <c r="G19" s="12">
        <v>79864</v>
      </c>
      <c r="H19" s="22">
        <f>H20*H11</f>
        <v>93170.934999999998</v>
      </c>
      <c r="I19" s="19">
        <f t="shared" ref="I19:Q19" si="9">I20*I11</f>
        <v>108257.45947500001</v>
      </c>
      <c r="J19" s="19">
        <f t="shared" si="9"/>
        <v>125852.36053005002</v>
      </c>
      <c r="K19" s="19">
        <f t="shared" si="9"/>
        <v>144846.74457301124</v>
      </c>
      <c r="L19" s="19">
        <f t="shared" si="9"/>
        <v>163703.15713924327</v>
      </c>
      <c r="M19" s="19">
        <f t="shared" si="9"/>
        <v>178290.27774861513</v>
      </c>
      <c r="N19" s="19">
        <f t="shared" si="9"/>
        <v>204095.44952801996</v>
      </c>
      <c r="O19" s="19">
        <f t="shared" si="9"/>
        <v>223280.42178365382</v>
      </c>
      <c r="P19" s="19">
        <f t="shared" si="9"/>
        <v>244268.7814313173</v>
      </c>
      <c r="Q19" s="19">
        <f t="shared" si="9"/>
        <v>267230.0468858612</v>
      </c>
    </row>
    <row r="20" spans="1:17" x14ac:dyDescent="0.25">
      <c r="A20" s="1"/>
      <c r="B20" s="81" t="s">
        <v>16</v>
      </c>
      <c r="C20" s="82">
        <f t="shared" ref="C20:G20" si="10">C19/C11</f>
        <v>9.0288976629531989E-2</v>
      </c>
      <c r="D20" s="82">
        <f t="shared" si="10"/>
        <v>0.11070260078808042</v>
      </c>
      <c r="E20" s="82">
        <f t="shared" si="10"/>
        <v>0.1307141654559173</v>
      </c>
      <c r="F20" s="82">
        <f t="shared" si="10"/>
        <v>0.13061602965645003</v>
      </c>
      <c r="G20" s="82">
        <f t="shared" si="10"/>
        <v>0.12257633778173418</v>
      </c>
      <c r="H20" s="69">
        <v>0.13</v>
      </c>
      <c r="I20" s="65">
        <f>H20+0.25%</f>
        <v>0.13250000000000001</v>
      </c>
      <c r="J20" s="65">
        <f t="shared" ref="J20:Q20" si="11">I20+0.25%</f>
        <v>0.13500000000000001</v>
      </c>
      <c r="K20" s="65">
        <f t="shared" si="11"/>
        <v>0.13750000000000001</v>
      </c>
      <c r="L20" s="65">
        <f t="shared" si="11"/>
        <v>0.14000000000000001</v>
      </c>
      <c r="M20" s="65">
        <f t="shared" si="11"/>
        <v>0.14250000000000002</v>
      </c>
      <c r="N20" s="65">
        <f t="shared" si="11"/>
        <v>0.14500000000000002</v>
      </c>
      <c r="O20" s="65">
        <v>0.14499999999999999</v>
      </c>
      <c r="P20" s="65">
        <v>0.14499999999999999</v>
      </c>
      <c r="Q20" s="65">
        <v>0.14499999999999999</v>
      </c>
    </row>
    <row r="21" spans="1:17" x14ac:dyDescent="0.25">
      <c r="A21" s="1"/>
      <c r="B21" s="14"/>
      <c r="C21" s="12"/>
      <c r="D21" s="12"/>
      <c r="E21" s="12"/>
      <c r="F21" s="12"/>
      <c r="G21" s="12"/>
      <c r="H21" s="22"/>
      <c r="I21" s="86"/>
      <c r="J21" s="86"/>
      <c r="K21" s="86"/>
      <c r="L21" s="86"/>
      <c r="M21" s="86"/>
      <c r="N21" s="86"/>
      <c r="O21" s="86"/>
      <c r="P21" s="86"/>
      <c r="Q21" s="86"/>
    </row>
    <row r="22" spans="1:17" x14ac:dyDescent="0.25">
      <c r="A22" s="1"/>
      <c r="B22" s="1" t="s">
        <v>51</v>
      </c>
      <c r="C22" s="12">
        <v>50848.127999999997</v>
      </c>
      <c r="D22" s="12">
        <v>76426.892000000007</v>
      </c>
      <c r="E22" s="12">
        <v>111354</v>
      </c>
      <c r="F22" s="12">
        <v>161967</v>
      </c>
      <c r="G22" s="12">
        <v>216103</v>
      </c>
      <c r="H22" s="22">
        <f>H23*H11</f>
        <v>243677.83000000002</v>
      </c>
      <c r="I22" s="86">
        <f>I23*I11</f>
        <v>279835.31977500004</v>
      </c>
      <c r="J22" s="86">
        <f>J23*J11</f>
        <v>321622.69913235004</v>
      </c>
      <c r="K22" s="86">
        <f>K23*K11</f>
        <v>366067.22719361028</v>
      </c>
      <c r="L22" s="86">
        <f>L23*L11</f>
        <v>409257.89284810814</v>
      </c>
      <c r="M22" s="86">
        <f>M23*M11</f>
        <v>441033.84495710063</v>
      </c>
      <c r="N22" s="86">
        <f>N23*N11</f>
        <v>499681.96263756615</v>
      </c>
      <c r="O22" s="86">
        <f>O23*O11</f>
        <v>546652.06712549727</v>
      </c>
      <c r="P22" s="86">
        <f>P23*P11</f>
        <v>598037.36143529415</v>
      </c>
      <c r="Q22" s="86">
        <f>Q23*Q11</f>
        <v>654252.87341021188</v>
      </c>
    </row>
    <row r="23" spans="1:17" x14ac:dyDescent="0.25">
      <c r="A23" s="1"/>
      <c r="B23" s="81" t="s">
        <v>16</v>
      </c>
      <c r="C23" s="82">
        <f>C22/C11</f>
        <v>0.49943936481232032</v>
      </c>
      <c r="D23" s="82">
        <f>D22/D11</f>
        <v>0.46073242361976474</v>
      </c>
      <c r="E23" s="82">
        <f>E22/E11</f>
        <v>0.34718056482237841</v>
      </c>
      <c r="F23" s="82">
        <f>F22/F11</f>
        <v>0.32507892798436094</v>
      </c>
      <c r="G23" s="82">
        <f>G22/G11</f>
        <v>0.33167778127374165</v>
      </c>
      <c r="H23" s="69">
        <v>0.34</v>
      </c>
      <c r="I23" s="65">
        <f>H23+0.25%</f>
        <v>0.34250000000000003</v>
      </c>
      <c r="J23" s="65">
        <f t="shared" ref="J23:Q23" si="12">I23+0.25%</f>
        <v>0.34500000000000003</v>
      </c>
      <c r="K23" s="65">
        <f t="shared" si="12"/>
        <v>0.34750000000000003</v>
      </c>
      <c r="L23" s="65">
        <f t="shared" si="12"/>
        <v>0.35000000000000003</v>
      </c>
      <c r="M23" s="65">
        <f t="shared" si="12"/>
        <v>0.35250000000000004</v>
      </c>
      <c r="N23" s="65">
        <f t="shared" si="12"/>
        <v>0.35500000000000004</v>
      </c>
      <c r="O23" s="65">
        <f>35.5%</f>
        <v>0.35499999999999998</v>
      </c>
      <c r="P23" s="65">
        <f t="shared" ref="P23:Q23" si="13">35.5%</f>
        <v>0.35499999999999998</v>
      </c>
      <c r="Q23" s="65">
        <f t="shared" si="13"/>
        <v>0.35499999999999998</v>
      </c>
    </row>
    <row r="24" spans="1:17" x14ac:dyDescent="0.25">
      <c r="A24" s="1"/>
      <c r="B24" s="14"/>
      <c r="C24" s="15"/>
      <c r="D24" s="15"/>
      <c r="E24" s="15"/>
      <c r="F24" s="15"/>
      <c r="G24" s="15"/>
      <c r="H24" s="69"/>
      <c r="I24" s="65"/>
      <c r="J24" s="65"/>
      <c r="K24" s="65"/>
      <c r="L24" s="65"/>
      <c r="M24" s="65"/>
      <c r="N24" s="65"/>
      <c r="O24" s="65"/>
      <c r="P24" s="65"/>
      <c r="Q24" s="65"/>
    </row>
    <row r="25" spans="1:17" x14ac:dyDescent="0.25">
      <c r="A25" s="1"/>
      <c r="B25" s="14" t="s">
        <v>20</v>
      </c>
      <c r="C25" s="12">
        <v>2214.4989999999998</v>
      </c>
      <c r="D25" s="12">
        <v>3133.7510000000002</v>
      </c>
      <c r="E25" s="12">
        <v>6613</v>
      </c>
      <c r="F25" s="12">
        <v>7859</v>
      </c>
      <c r="G25" s="12">
        <v>10842</v>
      </c>
      <c r="H25" s="22">
        <f>H43</f>
        <v>12183.891500000002</v>
      </c>
      <c r="I25" s="86">
        <f t="shared" ref="I25:Q25" si="14">I43</f>
        <v>13889.636310000002</v>
      </c>
      <c r="J25" s="86">
        <f t="shared" si="14"/>
        <v>12119.116199190001</v>
      </c>
      <c r="K25" s="86">
        <f t="shared" si="14"/>
        <v>13694.601305084698</v>
      </c>
      <c r="L25" s="86">
        <f t="shared" si="14"/>
        <v>15201.007448644015</v>
      </c>
      <c r="M25" s="86">
        <f t="shared" si="14"/>
        <v>16265.077970049098</v>
      </c>
      <c r="N25" s="86">
        <f t="shared" si="14"/>
        <v>18298.212716305236</v>
      </c>
      <c r="O25" s="86">
        <f t="shared" si="14"/>
        <v>20018.24471163793</v>
      </c>
      <c r="P25" s="86">
        <f t="shared" si="14"/>
        <v>21899.959714531898</v>
      </c>
      <c r="Q25" s="86">
        <f t="shared" si="14"/>
        <v>23958.5559276979</v>
      </c>
    </row>
    <row r="26" spans="1:17" x14ac:dyDescent="0.25">
      <c r="A26" s="1"/>
      <c r="B26" s="1" t="s">
        <v>13</v>
      </c>
      <c r="C26" s="12">
        <v>-437.96499999999997</v>
      </c>
      <c r="D26" s="12">
        <v>355.36399999999998</v>
      </c>
      <c r="E26" s="12">
        <v>-67</v>
      </c>
      <c r="F26" s="12">
        <v>-179</v>
      </c>
      <c r="G26" s="12">
        <v>-117</v>
      </c>
      <c r="H26" s="72">
        <f>H27*H11</f>
        <v>-416.72106111093046</v>
      </c>
      <c r="I26" s="87">
        <f>I27*I11</f>
        <v>-475.06200966646071</v>
      </c>
      <c r="J26" s="87">
        <f>J27*J11</f>
        <v>-542.04575302943169</v>
      </c>
      <c r="K26" s="87">
        <f>K27*K11</f>
        <v>-612.51170092325776</v>
      </c>
      <c r="L26" s="87">
        <f>L27*L11</f>
        <v>-679.88798802481608</v>
      </c>
      <c r="M26" s="87">
        <f>M27*M11</f>
        <v>-727.48014718655327</v>
      </c>
      <c r="N26" s="87">
        <f>N27*N11</f>
        <v>-818.41516558487251</v>
      </c>
      <c r="O26" s="87">
        <f>O27*O11</f>
        <v>-895.3461911498506</v>
      </c>
      <c r="P26" s="87">
        <f>P27*P11</f>
        <v>-979.50873311793657</v>
      </c>
      <c r="Q26" s="87">
        <f>Q27*Q11</f>
        <v>-1071.5825540310227</v>
      </c>
    </row>
    <row r="27" spans="1:17" x14ac:dyDescent="0.25">
      <c r="A27" s="1"/>
      <c r="B27" s="81" t="s">
        <v>16</v>
      </c>
      <c r="C27" s="82">
        <f>C26/C11</f>
        <v>-4.3017701931923205E-3</v>
      </c>
      <c r="D27" s="82">
        <f>D26/D11</f>
        <v>2.1422788851234989E-3</v>
      </c>
      <c r="E27" s="82">
        <f>E26/E11</f>
        <v>-2.0889323996532995E-4</v>
      </c>
      <c r="F27" s="82">
        <f>F26/F11</f>
        <v>-3.5926533250106878E-4</v>
      </c>
      <c r="G27" s="82">
        <f>G26/G11</f>
        <v>-1.7957316839205273E-4</v>
      </c>
      <c r="H27" s="20">
        <f>AVERAGE(C27:G27)</f>
        <v>-5.8144460978545463E-4</v>
      </c>
      <c r="I27" s="66">
        <v>-5.8144460978545463E-4</v>
      </c>
      <c r="J27" s="66">
        <v>-5.8144460978545463E-4</v>
      </c>
      <c r="K27" s="66">
        <v>-5.8144460978545463E-4</v>
      </c>
      <c r="L27" s="66">
        <v>-5.8144460978545463E-4</v>
      </c>
      <c r="M27" s="66">
        <v>-5.8144460978545463E-4</v>
      </c>
      <c r="N27" s="66">
        <v>-5.8144460978545463E-4</v>
      </c>
      <c r="O27" s="66">
        <v>-5.8144460978545463E-4</v>
      </c>
      <c r="P27" s="66">
        <v>-5.8144460978545463E-4</v>
      </c>
      <c r="Q27" s="66">
        <v>-5.8144460978545463E-4</v>
      </c>
    </row>
    <row r="28" spans="1:17" x14ac:dyDescent="0.25">
      <c r="A28" s="1"/>
      <c r="B28" s="1"/>
      <c r="C28" s="1"/>
      <c r="D28" s="1"/>
      <c r="E28" s="12"/>
      <c r="F28" s="12"/>
      <c r="G28" s="12"/>
      <c r="H28" s="13"/>
      <c r="I28" s="85"/>
      <c r="J28" s="85"/>
      <c r="K28" s="85"/>
      <c r="L28" s="85"/>
      <c r="M28" s="85"/>
      <c r="N28" s="85"/>
      <c r="O28" s="85"/>
      <c r="P28" s="85"/>
      <c r="Q28" s="88"/>
    </row>
    <row r="29" spans="1:17" x14ac:dyDescent="0.25">
      <c r="A29" s="1"/>
      <c r="B29" s="1" t="s">
        <v>11</v>
      </c>
      <c r="C29" s="12">
        <f t="shared" ref="C29:F29" si="15">C19+C22+C25</f>
        <v>62254.985000000001</v>
      </c>
      <c r="D29" s="12">
        <f t="shared" si="15"/>
        <v>97924.134000000005</v>
      </c>
      <c r="E29" s="12">
        <f t="shared" si="15"/>
        <v>159892</v>
      </c>
      <c r="F29" s="12">
        <f t="shared" si="15"/>
        <v>234904</v>
      </c>
      <c r="G29" s="12">
        <f>G19+G22+G25</f>
        <v>306809</v>
      </c>
      <c r="H29" s="72">
        <f t="shared" ref="H29:Q29" si="16">H19+H22+H25</f>
        <v>349032.65650000004</v>
      </c>
      <c r="I29" s="12">
        <f t="shared" si="16"/>
        <v>401982.41555999999</v>
      </c>
      <c r="J29" s="12">
        <f t="shared" si="16"/>
        <v>459594.17586159008</v>
      </c>
      <c r="K29" s="12">
        <f t="shared" si="16"/>
        <v>524608.57307170623</v>
      </c>
      <c r="L29" s="12">
        <f t="shared" si="16"/>
        <v>588162.05743599543</v>
      </c>
      <c r="M29" s="12">
        <f t="shared" si="16"/>
        <v>635589.20067576482</v>
      </c>
      <c r="N29" s="12">
        <f t="shared" si="16"/>
        <v>722075.62488189142</v>
      </c>
      <c r="O29" s="12">
        <f t="shared" si="16"/>
        <v>789950.73362078902</v>
      </c>
      <c r="P29" s="12">
        <f t="shared" si="16"/>
        <v>864206.10258114338</v>
      </c>
      <c r="Q29" s="12">
        <f t="shared" si="16"/>
        <v>945441.47622377099</v>
      </c>
    </row>
    <row r="30" spans="1:17" x14ac:dyDescent="0.25">
      <c r="A30" s="1"/>
      <c r="B30" s="81" t="s">
        <v>16</v>
      </c>
      <c r="C30" s="82">
        <f>C29/C11</f>
        <v>0.61147954482809141</v>
      </c>
      <c r="D30" s="82">
        <f>D29/D11</f>
        <v>0.59032655140139167</v>
      </c>
      <c r="E30" s="82">
        <f>E29/E11</f>
        <v>0.49851280484382893</v>
      </c>
      <c r="F30" s="82">
        <f>F29/F11</f>
        <v>0.47146851209961482</v>
      </c>
      <c r="G30" s="82">
        <f>G29/G11</f>
        <v>0.47089456599313939</v>
      </c>
      <c r="H30" s="20">
        <f>H29/H11</f>
        <v>0.48700000000000004</v>
      </c>
      <c r="I30" s="66">
        <f>I29/I11</f>
        <v>0.49199999999999994</v>
      </c>
      <c r="J30" s="66">
        <f>J29/J11</f>
        <v>0.49300000000000005</v>
      </c>
      <c r="K30" s="66">
        <f>K29/K11</f>
        <v>0.49800000000000005</v>
      </c>
      <c r="L30" s="66">
        <f>L29/L11</f>
        <v>0.503</v>
      </c>
      <c r="M30" s="66">
        <f>M29/M11</f>
        <v>0.50800000000000001</v>
      </c>
      <c r="N30" s="66">
        <f>N29/N11</f>
        <v>0.51300000000000012</v>
      </c>
      <c r="O30" s="66">
        <f>O29/O11</f>
        <v>0.5129999999999999</v>
      </c>
      <c r="P30" s="66">
        <f>P29/P11</f>
        <v>0.51300000000000001</v>
      </c>
      <c r="Q30" s="66">
        <f>Q29/Q11</f>
        <v>0.51300000000000001</v>
      </c>
    </row>
    <row r="31" spans="1:17" x14ac:dyDescent="0.25">
      <c r="A31" s="1"/>
      <c r="B31" s="1"/>
      <c r="C31" s="15"/>
      <c r="D31" s="15"/>
      <c r="E31" s="15"/>
      <c r="F31" s="15"/>
      <c r="G31" s="15"/>
      <c r="H31" s="21"/>
      <c r="I31" s="53"/>
      <c r="J31" s="53"/>
      <c r="K31" s="53"/>
      <c r="L31" s="53"/>
      <c r="M31" s="53"/>
      <c r="N31" s="53"/>
      <c r="O31" s="53"/>
      <c r="P31" s="53"/>
      <c r="Q31" s="53"/>
    </row>
    <row r="32" spans="1:17" x14ac:dyDescent="0.25">
      <c r="A32" s="1"/>
      <c r="B32" s="1" t="s">
        <v>12</v>
      </c>
      <c r="C32" s="12">
        <f t="shared" ref="C32:F32" si="17">C16-C29</f>
        <v>-5037.8329999999987</v>
      </c>
      <c r="D32" s="12">
        <f t="shared" si="17"/>
        <v>-7043.3130000000092</v>
      </c>
      <c r="E32" s="12">
        <f t="shared" si="17"/>
        <v>14880</v>
      </c>
      <c r="F32" s="12">
        <f t="shared" si="17"/>
        <v>38441</v>
      </c>
      <c r="G32" s="12">
        <f>G16-G29</f>
        <v>39017</v>
      </c>
      <c r="H32" s="72">
        <f t="shared" ref="H32:Q32" si="18">H16-H29</f>
        <v>31534.777999999991</v>
      </c>
      <c r="I32" s="12">
        <f t="shared" si="18"/>
        <v>35949.646920000087</v>
      </c>
      <c r="J32" s="12">
        <f t="shared" si="18"/>
        <v>44747.505966240016</v>
      </c>
      <c r="K32" s="12">
        <f t="shared" si="18"/>
        <v>50564.681741851149</v>
      </c>
      <c r="L32" s="12">
        <f t="shared" si="18"/>
        <v>56126.796733454801</v>
      </c>
      <c r="M32" s="12">
        <f t="shared" si="18"/>
        <v>60055.672504796647</v>
      </c>
      <c r="N32" s="12">
        <f t="shared" si="18"/>
        <v>67562.631567896227</v>
      </c>
      <c r="O32" s="12">
        <f t="shared" si="18"/>
        <v>81612.843824370182</v>
      </c>
      <c r="P32" s="12">
        <f t="shared" si="18"/>
        <v>97707.512572527048</v>
      </c>
      <c r="Q32" s="12">
        <f t="shared" si="18"/>
        <v>116106.84795730538</v>
      </c>
    </row>
    <row r="33" spans="1:85" x14ac:dyDescent="0.25">
      <c r="A33" s="1"/>
      <c r="B33" s="1"/>
      <c r="C33" s="23"/>
      <c r="D33" s="23"/>
      <c r="E33" s="23"/>
      <c r="F33" s="23"/>
      <c r="G33" s="23"/>
      <c r="H33" s="24"/>
      <c r="I33" s="88"/>
      <c r="J33" s="88"/>
      <c r="K33" s="88"/>
      <c r="L33" s="88"/>
      <c r="M33" s="88"/>
      <c r="N33" s="88"/>
      <c r="O33" s="88"/>
      <c r="P33" s="88"/>
      <c r="Q33" s="88"/>
    </row>
    <row r="34" spans="1:85" x14ac:dyDescent="0.25">
      <c r="A34" s="1"/>
      <c r="B34" s="1" t="s">
        <v>14</v>
      </c>
      <c r="C34" s="12">
        <f t="shared" ref="C34:F34" si="19">C32+C26</f>
        <v>-5475.7979999999989</v>
      </c>
      <c r="D34" s="12">
        <f t="shared" si="19"/>
        <v>-6687.9490000000096</v>
      </c>
      <c r="E34" s="12">
        <f t="shared" si="19"/>
        <v>14813</v>
      </c>
      <c r="F34" s="12">
        <f t="shared" si="19"/>
        <v>38262</v>
      </c>
      <c r="G34" s="12">
        <f>G32+G26</f>
        <v>38900</v>
      </c>
      <c r="H34" s="72">
        <f t="shared" ref="H34:Q34" si="20">H32+H26</f>
        <v>31118.056938889062</v>
      </c>
      <c r="I34" s="12">
        <f t="shared" si="20"/>
        <v>35474.584910333622</v>
      </c>
      <c r="J34" s="12">
        <f t="shared" si="20"/>
        <v>44205.460213210587</v>
      </c>
      <c r="K34" s="12">
        <f t="shared" si="20"/>
        <v>49952.170040927893</v>
      </c>
      <c r="L34" s="12">
        <f t="shared" si="20"/>
        <v>55446.908745429988</v>
      </c>
      <c r="M34" s="12">
        <f t="shared" si="20"/>
        <v>59328.192357610096</v>
      </c>
      <c r="N34" s="12">
        <f t="shared" si="20"/>
        <v>66744.216402311358</v>
      </c>
      <c r="O34" s="12">
        <f t="shared" si="20"/>
        <v>80717.497633220337</v>
      </c>
      <c r="P34" s="12">
        <f t="shared" si="20"/>
        <v>96728.00383940911</v>
      </c>
      <c r="Q34" s="12">
        <f t="shared" si="20"/>
        <v>115035.26540327436</v>
      </c>
    </row>
    <row r="35" spans="1:85" x14ac:dyDescent="0.25">
      <c r="A35" s="1"/>
      <c r="B35" s="1"/>
      <c r="C35" s="23"/>
      <c r="D35" s="23"/>
      <c r="E35" s="23"/>
      <c r="F35" s="23"/>
      <c r="G35" s="23"/>
      <c r="H35" s="13"/>
      <c r="I35" s="85"/>
      <c r="J35" s="85"/>
      <c r="K35" s="85"/>
      <c r="L35" s="85"/>
      <c r="M35" s="85"/>
      <c r="N35" s="85"/>
      <c r="O35" s="85"/>
      <c r="P35" s="85"/>
      <c r="Q35" s="88"/>
    </row>
    <row r="36" spans="1:85" x14ac:dyDescent="0.25">
      <c r="A36" s="1"/>
      <c r="B36" s="1" t="s">
        <v>15</v>
      </c>
      <c r="C36" s="12">
        <f t="shared" ref="C36:F36" si="21">C32</f>
        <v>-5037.8329999999987</v>
      </c>
      <c r="D36" s="12">
        <f t="shared" si="21"/>
        <v>-7043.3130000000092</v>
      </c>
      <c r="E36" s="12">
        <f>E32</f>
        <v>14880</v>
      </c>
      <c r="F36" s="12">
        <f t="shared" si="21"/>
        <v>38441</v>
      </c>
      <c r="G36" s="12">
        <f>G32</f>
        <v>39017</v>
      </c>
      <c r="H36" s="72">
        <f t="shared" ref="H36:Q36" si="22">H32</f>
        <v>31534.777999999991</v>
      </c>
      <c r="I36" s="87">
        <f t="shared" si="22"/>
        <v>35949.646920000087</v>
      </c>
      <c r="J36" s="87">
        <f t="shared" si="22"/>
        <v>44747.505966240016</v>
      </c>
      <c r="K36" s="87">
        <f t="shared" si="22"/>
        <v>50564.681741851149</v>
      </c>
      <c r="L36" s="87">
        <f t="shared" si="22"/>
        <v>56126.796733454801</v>
      </c>
      <c r="M36" s="87">
        <f t="shared" si="22"/>
        <v>60055.672504796647</v>
      </c>
      <c r="N36" s="87">
        <f t="shared" si="22"/>
        <v>67562.631567896227</v>
      </c>
      <c r="O36" s="87">
        <f t="shared" si="22"/>
        <v>81612.843824370182</v>
      </c>
      <c r="P36" s="87">
        <f t="shared" si="22"/>
        <v>97707.512572527048</v>
      </c>
      <c r="Q36" s="87">
        <f t="shared" si="22"/>
        <v>116106.84795730538</v>
      </c>
    </row>
    <row r="37" spans="1:85" x14ac:dyDescent="0.25">
      <c r="A37" s="1"/>
      <c r="B37" s="81" t="s">
        <v>16</v>
      </c>
      <c r="C37" s="82">
        <f>C36/C11</f>
        <v>-4.9482492522645978E-2</v>
      </c>
      <c r="D37" s="82">
        <f>D36/D11</f>
        <v>-4.2459958581105198E-2</v>
      </c>
      <c r="E37" s="82">
        <f>E36/E11</f>
        <v>4.6393006129613577E-2</v>
      </c>
      <c r="F37" s="82">
        <f>F36/F11</f>
        <v>7.7153735456277003E-2</v>
      </c>
      <c r="G37" s="82">
        <f>G36/G11</f>
        <v>5.9883814625236939E-2</v>
      </c>
      <c r="H37" s="69">
        <f>H36/H11</f>
        <v>4.3999999999999991E-2</v>
      </c>
      <c r="I37" s="65">
        <f>I36/I11</f>
        <v>4.4000000000000102E-2</v>
      </c>
      <c r="J37" s="65">
        <f>J36/J11</f>
        <v>4.8000000000000015E-2</v>
      </c>
      <c r="K37" s="65">
        <f>K36/K11</f>
        <v>4.7999999999999952E-2</v>
      </c>
      <c r="L37" s="65">
        <f>L36/L11</f>
        <v>4.799999999999998E-2</v>
      </c>
      <c r="M37" s="65">
        <f>M36/M11</f>
        <v>4.799999999999998E-2</v>
      </c>
      <c r="N37" s="65">
        <f>N36/N11</f>
        <v>4.799999999999998E-2</v>
      </c>
      <c r="O37" s="65">
        <f>O36/O11</f>
        <v>5.3000000000000103E-2</v>
      </c>
      <c r="P37" s="65">
        <f>P36/P11</f>
        <v>5.8000000000000072E-2</v>
      </c>
      <c r="Q37" s="65">
        <f>Q36/Q11</f>
        <v>6.3000000000000098E-2</v>
      </c>
    </row>
    <row r="38" spans="1:85" x14ac:dyDescent="0.25">
      <c r="A38" s="1"/>
      <c r="B38" s="14"/>
      <c r="C38" s="1"/>
      <c r="E38" s="1"/>
      <c r="F38" s="1"/>
      <c r="G38" s="1"/>
      <c r="H38" s="13"/>
      <c r="I38" s="85"/>
      <c r="J38" s="85"/>
      <c r="K38" s="85"/>
      <c r="L38" s="85"/>
      <c r="M38" s="85"/>
      <c r="N38" s="88"/>
      <c r="O38" s="88"/>
      <c r="P38" s="88"/>
      <c r="Q38" s="88"/>
    </row>
    <row r="39" spans="1:85" x14ac:dyDescent="0.25">
      <c r="A39" s="1"/>
      <c r="B39" s="1" t="s">
        <v>17</v>
      </c>
      <c r="C39" s="12">
        <v>-26</v>
      </c>
      <c r="D39" s="25">
        <v>-16.407</v>
      </c>
      <c r="E39" s="12">
        <v>-86</v>
      </c>
      <c r="F39" s="12">
        <v>7638</v>
      </c>
      <c r="G39" s="19">
        <v>-10658</v>
      </c>
      <c r="H39" s="22">
        <f>H40*H36</f>
        <v>6584.4616463999982</v>
      </c>
      <c r="I39" s="86">
        <f t="shared" ref="I39:Q39" si="23">I40*I36</f>
        <v>7506.2862768960185</v>
      </c>
      <c r="J39" s="86">
        <f t="shared" si="23"/>
        <v>9343.2792457509167</v>
      </c>
      <c r="K39" s="86">
        <f t="shared" si="23"/>
        <v>10557.905547698521</v>
      </c>
      <c r="L39" s="86">
        <f t="shared" si="23"/>
        <v>11719.275157945363</v>
      </c>
      <c r="M39" s="86">
        <f t="shared" si="23"/>
        <v>12539.62441900154</v>
      </c>
      <c r="N39" s="86">
        <f t="shared" si="23"/>
        <v>14107.077471376733</v>
      </c>
      <c r="O39" s="86">
        <f t="shared" si="23"/>
        <v>17040.761790528497</v>
      </c>
      <c r="P39" s="86">
        <f t="shared" si="23"/>
        <v>20401.328625143648</v>
      </c>
      <c r="Q39" s="86">
        <f t="shared" si="23"/>
        <v>24243.109853485363</v>
      </c>
    </row>
    <row r="40" spans="1:85" x14ac:dyDescent="0.25">
      <c r="A40" s="1"/>
      <c r="B40" s="81" t="s">
        <v>18</v>
      </c>
      <c r="C40" s="83">
        <f t="shared" ref="C40:F40" si="24">C39/C36</f>
        <v>5.1609491620702806E-3</v>
      </c>
      <c r="D40" s="83">
        <f t="shared" si="24"/>
        <v>2.3294435445364958E-3</v>
      </c>
      <c r="E40" s="83">
        <f>E39/E36</f>
        <v>-5.779569892473118E-3</v>
      </c>
      <c r="F40" s="83">
        <f t="shared" si="24"/>
        <v>0.19869410265081552</v>
      </c>
      <c r="G40" s="83">
        <f>G39/G36</f>
        <v>-0.27316298023938285</v>
      </c>
      <c r="H40" s="71">
        <v>0.20880000000000001</v>
      </c>
      <c r="I40" s="92">
        <v>0.20880000000000001</v>
      </c>
      <c r="J40" s="92">
        <v>0.20880000000000001</v>
      </c>
      <c r="K40" s="92">
        <v>0.20880000000000001</v>
      </c>
      <c r="L40" s="92">
        <v>0.20880000000000001</v>
      </c>
      <c r="M40" s="92">
        <v>0.20880000000000001</v>
      </c>
      <c r="N40" s="92">
        <v>0.20880000000000001</v>
      </c>
      <c r="O40" s="92">
        <v>0.20880000000000001</v>
      </c>
      <c r="P40" s="92">
        <v>0.20880000000000001</v>
      </c>
      <c r="Q40" s="92">
        <v>0.20880000000000001</v>
      </c>
    </row>
    <row r="41" spans="1:85" x14ac:dyDescent="0.25">
      <c r="A41" s="1"/>
      <c r="B41" s="1"/>
      <c r="C41" s="1"/>
      <c r="D41" s="1"/>
      <c r="E41" s="1"/>
      <c r="F41" s="1"/>
      <c r="G41" s="1"/>
      <c r="H41" s="13"/>
      <c r="I41" s="1"/>
      <c r="J41" s="1"/>
      <c r="K41" s="1"/>
      <c r="L41" s="1"/>
      <c r="M41" s="1"/>
      <c r="N41" s="1"/>
      <c r="O41" s="1"/>
      <c r="P41" s="1"/>
    </row>
    <row r="42" spans="1:85" x14ac:dyDescent="0.25">
      <c r="A42" s="1"/>
      <c r="B42" s="10" t="s">
        <v>19</v>
      </c>
      <c r="C42" s="10">
        <v>2018</v>
      </c>
      <c r="D42" s="10">
        <f>C42+1</f>
        <v>2019</v>
      </c>
      <c r="E42" s="10">
        <v>2020</v>
      </c>
      <c r="F42" s="10">
        <v>2021</v>
      </c>
      <c r="G42" s="10">
        <v>2022</v>
      </c>
      <c r="H42" s="73">
        <v>2023</v>
      </c>
      <c r="I42" s="10">
        <v>2024</v>
      </c>
      <c r="J42" s="10">
        <v>2025</v>
      </c>
      <c r="K42" s="10">
        <v>2026</v>
      </c>
      <c r="L42" s="10">
        <v>2027</v>
      </c>
      <c r="M42" s="10">
        <v>2028</v>
      </c>
      <c r="N42" s="10">
        <v>2029</v>
      </c>
      <c r="O42" s="10">
        <v>2030</v>
      </c>
      <c r="P42" s="10">
        <v>2031</v>
      </c>
      <c r="Q42" s="10">
        <v>2032</v>
      </c>
      <c r="R42" s="10">
        <v>2033</v>
      </c>
      <c r="S42" s="10">
        <v>2034</v>
      </c>
      <c r="T42" s="10">
        <v>2035</v>
      </c>
      <c r="U42" s="10">
        <v>2036</v>
      </c>
      <c r="V42" s="10">
        <v>2037</v>
      </c>
      <c r="W42" s="10">
        <v>2038</v>
      </c>
      <c r="X42" s="10">
        <v>2039</v>
      </c>
      <c r="Y42" s="10">
        <v>2040</v>
      </c>
      <c r="Z42" s="10">
        <v>2041</v>
      </c>
      <c r="AA42" s="10">
        <v>2042</v>
      </c>
      <c r="AB42" s="10">
        <v>2043</v>
      </c>
      <c r="AC42" s="10">
        <v>2044</v>
      </c>
      <c r="AD42" s="10">
        <v>2045</v>
      </c>
      <c r="AE42" s="10">
        <v>2046</v>
      </c>
      <c r="AF42" s="10">
        <v>2047</v>
      </c>
      <c r="AG42" s="10">
        <v>2048</v>
      </c>
      <c r="AH42" s="10">
        <v>2049</v>
      </c>
      <c r="AI42" s="10">
        <v>2050</v>
      </c>
      <c r="AJ42" s="10">
        <v>2051</v>
      </c>
      <c r="AK42" s="10">
        <v>2052</v>
      </c>
      <c r="AL42" s="10">
        <v>2053</v>
      </c>
      <c r="AM42" s="10">
        <v>2054</v>
      </c>
      <c r="AN42" s="10">
        <v>2055</v>
      </c>
      <c r="AO42" s="10">
        <v>2056</v>
      </c>
      <c r="AP42" s="10">
        <v>2057</v>
      </c>
      <c r="AQ42" s="10">
        <v>2058</v>
      </c>
      <c r="AR42" s="10">
        <v>2059</v>
      </c>
      <c r="AS42" s="10">
        <v>2060</v>
      </c>
      <c r="AT42" s="10">
        <v>2061</v>
      </c>
      <c r="AU42" s="10">
        <v>2062</v>
      </c>
      <c r="AV42" s="10">
        <v>2063</v>
      </c>
      <c r="AW42" s="10">
        <v>2064</v>
      </c>
      <c r="AX42" s="10">
        <v>2065</v>
      </c>
      <c r="AY42" s="10">
        <v>2066</v>
      </c>
      <c r="AZ42" s="10">
        <v>2067</v>
      </c>
      <c r="BA42" s="10">
        <v>2068</v>
      </c>
      <c r="BB42" s="10">
        <v>2069</v>
      </c>
      <c r="BC42" s="10">
        <v>2070</v>
      </c>
      <c r="BD42" s="10">
        <v>2071</v>
      </c>
      <c r="BE42" s="10">
        <v>2072</v>
      </c>
      <c r="BF42" s="10">
        <v>2073</v>
      </c>
      <c r="BG42" s="10">
        <v>2074</v>
      </c>
      <c r="BH42" s="10">
        <v>2075</v>
      </c>
      <c r="BI42" s="10">
        <v>2076</v>
      </c>
      <c r="BJ42" s="10">
        <v>2077</v>
      </c>
      <c r="BK42" s="10">
        <v>2078</v>
      </c>
      <c r="BL42" s="10">
        <v>2079</v>
      </c>
      <c r="BM42" s="10">
        <v>2080</v>
      </c>
      <c r="BN42" s="10">
        <v>2081</v>
      </c>
      <c r="BO42" s="10">
        <v>2082</v>
      </c>
      <c r="BP42" s="10">
        <v>2083</v>
      </c>
      <c r="BQ42" s="10">
        <v>2084</v>
      </c>
      <c r="BR42" s="10">
        <v>2085</v>
      </c>
      <c r="BS42" s="10">
        <v>2086</v>
      </c>
      <c r="BT42" s="10">
        <v>2087</v>
      </c>
      <c r="BU42" s="10">
        <v>2088</v>
      </c>
      <c r="BV42" s="10">
        <v>2089</v>
      </c>
      <c r="BW42" s="10">
        <v>2090</v>
      </c>
      <c r="BX42" s="10">
        <v>2091</v>
      </c>
      <c r="BY42" s="10">
        <v>2092</v>
      </c>
      <c r="BZ42" s="10">
        <v>2093</v>
      </c>
      <c r="CA42" s="10">
        <v>2094</v>
      </c>
      <c r="CB42" s="10">
        <v>2095</v>
      </c>
      <c r="CC42" s="10">
        <v>2096</v>
      </c>
      <c r="CD42" s="10">
        <v>2097</v>
      </c>
      <c r="CE42" s="10">
        <v>2098</v>
      </c>
      <c r="CF42" s="10">
        <v>2099</v>
      </c>
      <c r="CG42" s="10">
        <v>2100</v>
      </c>
    </row>
    <row r="43" spans="1:85" x14ac:dyDescent="0.25">
      <c r="A43" s="1"/>
      <c r="B43" s="1" t="s">
        <v>20</v>
      </c>
      <c r="C43" s="12">
        <v>2214.4989999999998</v>
      </c>
      <c r="D43" s="25">
        <v>3133.7510000000002</v>
      </c>
      <c r="E43" s="12">
        <v>6613</v>
      </c>
      <c r="F43" s="12">
        <v>7859</v>
      </c>
      <c r="G43" s="12">
        <v>10842</v>
      </c>
      <c r="H43" s="22">
        <f>H44*H11</f>
        <v>12183.891500000002</v>
      </c>
      <c r="I43" s="19">
        <f>I44*I11</f>
        <v>13889.636310000002</v>
      </c>
      <c r="J43" s="19">
        <f>J44*J11</f>
        <v>12119.116199190001</v>
      </c>
      <c r="K43" s="19">
        <f>K44*K11</f>
        <v>13694.601305084698</v>
      </c>
      <c r="L43" s="19">
        <f>L44*L11</f>
        <v>15201.007448644015</v>
      </c>
      <c r="M43" s="19">
        <f>M44*M11</f>
        <v>16265.077970049098</v>
      </c>
      <c r="N43" s="19">
        <f>N44*N11</f>
        <v>18298.212716305236</v>
      </c>
      <c r="O43" s="19">
        <f>O44*O11</f>
        <v>20018.24471163793</v>
      </c>
      <c r="P43" s="19">
        <f>P44*P11</f>
        <v>21899.959714531898</v>
      </c>
      <c r="Q43" s="19">
        <f>Q44*Q11</f>
        <v>23958.5559276979</v>
      </c>
    </row>
    <row r="44" spans="1:85" x14ac:dyDescent="0.25">
      <c r="A44" s="1"/>
      <c r="B44" s="81" t="s">
        <v>16</v>
      </c>
      <c r="C44" s="82">
        <f>C43/C11</f>
        <v>2.1751203386239086E-2</v>
      </c>
      <c r="D44" s="82">
        <f>D43/D11</f>
        <v>1.8891526993546476E-2</v>
      </c>
      <c r="E44" s="82">
        <f>E43/E11</f>
        <v>2.0618074565533238E-2</v>
      </c>
      <c r="F44" s="82">
        <f>F43/F11</f>
        <v>1.5773554458803907E-2</v>
      </c>
      <c r="G44" s="82">
        <f>G43/G11</f>
        <v>1.6640446937663554E-2</v>
      </c>
      <c r="H44" s="21">
        <v>1.7000000000000001E-2</v>
      </c>
      <c r="I44" s="53">
        <v>1.7000000000000001E-2</v>
      </c>
      <c r="J44" s="53">
        <v>1.2999999999999999E-2</v>
      </c>
      <c r="K44" s="53">
        <v>1.2999999999999999E-2</v>
      </c>
      <c r="L44" s="53">
        <v>1.2999999999999999E-2</v>
      </c>
      <c r="M44" s="53">
        <v>1.2999999999999999E-2</v>
      </c>
      <c r="N44" s="53">
        <v>1.2999999999999999E-2</v>
      </c>
      <c r="O44" s="53">
        <v>1.2999999999999999E-2</v>
      </c>
      <c r="P44" s="53">
        <v>1.2999999999999999E-2</v>
      </c>
      <c r="Q44" s="53">
        <v>1.2999999999999999E-2</v>
      </c>
    </row>
    <row r="45" spans="1:85" x14ac:dyDescent="0.25">
      <c r="A45" s="1"/>
      <c r="B45" s="1"/>
      <c r="C45" s="1"/>
      <c r="E45" s="1"/>
      <c r="F45" s="1"/>
      <c r="G45" s="1"/>
      <c r="H45" s="13"/>
      <c r="I45" s="1"/>
      <c r="J45" s="1"/>
      <c r="K45" s="1"/>
      <c r="L45" s="1"/>
      <c r="M45" s="1"/>
    </row>
    <row r="46" spans="1:85" x14ac:dyDescent="0.25">
      <c r="A46" s="1"/>
      <c r="B46" s="1" t="s">
        <v>21</v>
      </c>
      <c r="C46" s="12">
        <v>-6636.4889999999996</v>
      </c>
      <c r="D46" s="25">
        <v>-10747.712</v>
      </c>
      <c r="E46" s="12">
        <v>-25242</v>
      </c>
      <c r="F46" s="12">
        <v>-15887</v>
      </c>
      <c r="G46" s="12">
        <v>-8374</v>
      </c>
      <c r="H46" s="22">
        <f>H47*H11</f>
        <v>-8494.7005000000008</v>
      </c>
      <c r="I46" s="86">
        <f>I47*I11</f>
        <v>-8866.9211400000004</v>
      </c>
      <c r="J46" s="86">
        <f>J47*J11</f>
        <v>-9184.9173131099997</v>
      </c>
      <c r="K46" s="86">
        <f>K47*K11</f>
        <v>-10534.308696218999</v>
      </c>
      <c r="L46" s="86">
        <f>L47*L11</f>
        <v>-11693.082652803088</v>
      </c>
      <c r="M46" s="86">
        <f>M47*M11</f>
        <v>-12511.598438499306</v>
      </c>
      <c r="N46" s="86">
        <f>N47*N11</f>
        <v>-14075.548243311721</v>
      </c>
      <c r="O46" s="86">
        <f>O47*O11</f>
        <v>-15398.649778183024</v>
      </c>
      <c r="P46" s="86">
        <f>P47*P11</f>
        <v>-16846.12285733223</v>
      </c>
      <c r="Q46" s="86">
        <f>Q47*Q11</f>
        <v>-18429.658405921462</v>
      </c>
    </row>
    <row r="47" spans="1:85" x14ac:dyDescent="0.25">
      <c r="A47" s="1"/>
      <c r="B47" s="81" t="s">
        <v>16</v>
      </c>
      <c r="C47" s="82">
        <f>C46/C11</f>
        <v>-6.5184776335206487E-2</v>
      </c>
      <c r="D47" s="82">
        <f>D46/D11</f>
        <v>-6.4791584068697033E-2</v>
      </c>
      <c r="E47" s="82">
        <f>E46/E11</f>
        <v>-7.8699748704550126E-2</v>
      </c>
      <c r="F47" s="82">
        <f>F46/F11</f>
        <v>-3.1886303561142346E-2</v>
      </c>
      <c r="G47" s="82">
        <f>G46/G11</f>
        <v>-1.2852527453974784E-2</v>
      </c>
      <c r="H47" s="21">
        <f>G47+0.1%</f>
        <v>-1.1852527453974783E-2</v>
      </c>
      <c r="I47" s="53">
        <f t="shared" ref="I47:J47" si="25">H47+0.1%</f>
        <v>-1.0852527453974782E-2</v>
      </c>
      <c r="J47" s="53">
        <f t="shared" si="25"/>
        <v>-9.8525274539747812E-3</v>
      </c>
      <c r="K47" s="53">
        <f>-1%</f>
        <v>-0.01</v>
      </c>
      <c r="L47" s="53">
        <f t="shared" ref="L47:Q47" si="26">-1%</f>
        <v>-0.01</v>
      </c>
      <c r="M47" s="53">
        <f t="shared" si="26"/>
        <v>-0.01</v>
      </c>
      <c r="N47" s="53">
        <f t="shared" si="26"/>
        <v>-0.01</v>
      </c>
      <c r="O47" s="53">
        <f t="shared" si="26"/>
        <v>-0.01</v>
      </c>
      <c r="P47" s="53">
        <f t="shared" si="26"/>
        <v>-0.01</v>
      </c>
      <c r="Q47" s="53">
        <f t="shared" si="26"/>
        <v>-0.01</v>
      </c>
    </row>
    <row r="48" spans="1:85" x14ac:dyDescent="0.25">
      <c r="A48" s="1"/>
      <c r="B48" s="1"/>
      <c r="C48" s="1"/>
      <c r="E48" s="1"/>
      <c r="F48" s="1"/>
      <c r="G48" s="1"/>
      <c r="H48" s="13"/>
      <c r="I48" s="85"/>
      <c r="J48" s="85"/>
      <c r="K48" s="85"/>
      <c r="L48" s="85"/>
      <c r="M48" s="85"/>
      <c r="N48" s="88"/>
      <c r="O48" s="88"/>
      <c r="P48" s="88"/>
      <c r="Q48" s="88"/>
    </row>
    <row r="49" spans="1:85" x14ac:dyDescent="0.25">
      <c r="A49" s="1"/>
      <c r="B49" s="1" t="s">
        <v>22</v>
      </c>
      <c r="C49" s="1">
        <v>-1104.4659999999999</v>
      </c>
      <c r="D49" s="2">
        <v>-7653.6819999999998</v>
      </c>
      <c r="E49" s="39">
        <v>-90799</v>
      </c>
      <c r="F49" s="39">
        <v>-31194</v>
      </c>
      <c r="G49" s="39">
        <v>10521</v>
      </c>
      <c r="H49" s="22">
        <f>H50*H11</f>
        <v>11467.192000000001</v>
      </c>
      <c r="I49" s="86">
        <f>I50*I11</f>
        <v>13072.598880000001</v>
      </c>
      <c r="J49" s="86">
        <f>J50*J11</f>
        <v>14915.835322080002</v>
      </c>
      <c r="K49" s="86">
        <f>K50*K11</f>
        <v>16854.8939139504</v>
      </c>
      <c r="L49" s="86">
        <f>L50*L11</f>
        <v>18708.932244484942</v>
      </c>
      <c r="M49" s="86">
        <f>M50*M11</f>
        <v>20018.557501598891</v>
      </c>
      <c r="N49" s="86">
        <f>N50*N11</f>
        <v>22520.877189298753</v>
      </c>
      <c r="O49" s="86">
        <f>O50*O11</f>
        <v>24637.839645092838</v>
      </c>
      <c r="P49" s="86">
        <f>P50*P11</f>
        <v>26953.796571731567</v>
      </c>
      <c r="Q49" s="86">
        <f>Q50*Q11</f>
        <v>29487.453449474338</v>
      </c>
    </row>
    <row r="50" spans="1:85" x14ac:dyDescent="0.25">
      <c r="A50" s="1"/>
      <c r="B50" s="81" t="s">
        <v>16</v>
      </c>
      <c r="C50" s="82">
        <f>C49/C11</f>
        <v>-1.0848261660622081E-2</v>
      </c>
      <c r="D50" s="82">
        <f>D49/D11</f>
        <v>-4.6139511436301343E-2</v>
      </c>
      <c r="E50" s="82">
        <f>E49/E11</f>
        <v>-0.28309398948674619</v>
      </c>
      <c r="F50" s="82">
        <f>F49/F11</f>
        <v>-6.2608507162225352E-2</v>
      </c>
      <c r="G50" s="82">
        <f>G49/G11</f>
        <v>1.6147771834639203E-2</v>
      </c>
      <c r="H50" s="74">
        <v>1.6E-2</v>
      </c>
      <c r="I50" s="89">
        <v>1.6E-2</v>
      </c>
      <c r="J50" s="89">
        <v>1.6E-2</v>
      </c>
      <c r="K50" s="89">
        <v>1.6E-2</v>
      </c>
      <c r="L50" s="89">
        <v>1.6E-2</v>
      </c>
      <c r="M50" s="89">
        <v>1.6E-2</v>
      </c>
      <c r="N50" s="89">
        <v>1.6E-2</v>
      </c>
      <c r="O50" s="89">
        <v>1.6E-2</v>
      </c>
      <c r="P50" s="89">
        <v>1.6E-2</v>
      </c>
      <c r="Q50" s="89">
        <v>1.6E-2</v>
      </c>
    </row>
    <row r="51" spans="1:85" x14ac:dyDescent="0.25">
      <c r="A51" s="1"/>
      <c r="B51" s="1"/>
      <c r="C51" s="1"/>
      <c r="D51" s="1"/>
      <c r="E51" s="1"/>
      <c r="F51" s="1"/>
      <c r="G51" s="1"/>
      <c r="H51" s="13"/>
      <c r="I51" s="85"/>
      <c r="J51" s="85"/>
      <c r="K51" s="85"/>
      <c r="L51" s="85"/>
      <c r="M51" s="85"/>
      <c r="N51" s="85"/>
      <c r="O51" s="85"/>
      <c r="P51" s="85"/>
      <c r="Q51" s="88"/>
    </row>
    <row r="52" spans="1:85" x14ac:dyDescent="0.25">
      <c r="A52" s="1"/>
      <c r="B52" s="10" t="s">
        <v>23</v>
      </c>
      <c r="C52" s="12">
        <f t="shared" ref="C52:F52" si="27">C36+C39</f>
        <v>-5063.8329999999987</v>
      </c>
      <c r="D52" s="12">
        <f t="shared" si="27"/>
        <v>-7059.7200000000093</v>
      </c>
      <c r="E52" s="12">
        <f t="shared" si="27"/>
        <v>14794</v>
      </c>
      <c r="F52" s="12">
        <f t="shared" si="27"/>
        <v>46079</v>
      </c>
      <c r="G52" s="12">
        <f>G36+G39</f>
        <v>28359</v>
      </c>
      <c r="H52" s="72">
        <f>H36+H39</f>
        <v>38119.23964639999</v>
      </c>
      <c r="I52" s="87">
        <f t="shared" ref="I52:Q52" si="28">I36+I39</f>
        <v>43455.933196896105</v>
      </c>
      <c r="J52" s="87">
        <f t="shared" si="28"/>
        <v>54090.785211990937</v>
      </c>
      <c r="K52" s="87">
        <f t="shared" si="28"/>
        <v>61122.587289549672</v>
      </c>
      <c r="L52" s="87">
        <f t="shared" si="28"/>
        <v>67846.071891400163</v>
      </c>
      <c r="M52" s="87">
        <f t="shared" si="28"/>
        <v>72595.296923798189</v>
      </c>
      <c r="N52" s="87">
        <f t="shared" si="28"/>
        <v>81669.709039272959</v>
      </c>
      <c r="O52" s="87">
        <f t="shared" si="28"/>
        <v>98653.605614898683</v>
      </c>
      <c r="P52" s="87">
        <f t="shared" si="28"/>
        <v>118108.8411976707</v>
      </c>
      <c r="Q52" s="87">
        <f>Q36+Q39</f>
        <v>140349.95781079074</v>
      </c>
    </row>
    <row r="53" spans="1:85" x14ac:dyDescent="0.25">
      <c r="A53" s="1"/>
      <c r="B53" s="10" t="s">
        <v>24</v>
      </c>
      <c r="C53" s="12">
        <f t="shared" ref="C53:F53" si="29">C34-C39</f>
        <v>-5449.7979999999989</v>
      </c>
      <c r="D53" s="12">
        <f t="shared" si="29"/>
        <v>-6671.5420000000095</v>
      </c>
      <c r="E53" s="12">
        <f t="shared" si="29"/>
        <v>14899</v>
      </c>
      <c r="F53" s="12">
        <f t="shared" si="29"/>
        <v>30624</v>
      </c>
      <c r="G53" s="12">
        <f>G34-G39</f>
        <v>49558</v>
      </c>
      <c r="H53" s="72">
        <f>H34-H39</f>
        <v>24533.595292489063</v>
      </c>
      <c r="I53" s="87">
        <f t="shared" ref="I53:Q53" si="30">I34-I39</f>
        <v>27968.298633437604</v>
      </c>
      <c r="J53" s="87">
        <f t="shared" si="30"/>
        <v>34862.180967459673</v>
      </c>
      <c r="K53" s="87">
        <f t="shared" si="30"/>
        <v>39394.26449322937</v>
      </c>
      <c r="L53" s="87">
        <f t="shared" si="30"/>
        <v>43727.633587484626</v>
      </c>
      <c r="M53" s="87">
        <f t="shared" si="30"/>
        <v>46788.567938608554</v>
      </c>
      <c r="N53" s="87">
        <f t="shared" si="30"/>
        <v>52637.138930934627</v>
      </c>
      <c r="O53" s="87">
        <f t="shared" si="30"/>
        <v>63676.735842691836</v>
      </c>
      <c r="P53" s="87">
        <f t="shared" si="30"/>
        <v>76326.675214265459</v>
      </c>
      <c r="Q53" s="87">
        <f t="shared" si="30"/>
        <v>90792.155549788993</v>
      </c>
      <c r="R53" s="64">
        <f>Q53*(1+$D$6)</f>
        <v>92607.998660784768</v>
      </c>
      <c r="S53" s="64">
        <f t="shared" ref="S53:CD53" si="31">R53*(1+$D$6)</f>
        <v>94460.158634000458</v>
      </c>
      <c r="T53" s="64">
        <f t="shared" si="31"/>
        <v>96349.361806680463</v>
      </c>
      <c r="U53" s="64">
        <f t="shared" si="31"/>
        <v>98276.349042814079</v>
      </c>
      <c r="V53" s="64">
        <f t="shared" si="31"/>
        <v>100241.87602367037</v>
      </c>
      <c r="W53" s="64">
        <f t="shared" si="31"/>
        <v>102246.71354414377</v>
      </c>
      <c r="X53" s="64">
        <f t="shared" si="31"/>
        <v>104291.64781502665</v>
      </c>
      <c r="Y53" s="64">
        <f t="shared" si="31"/>
        <v>106377.48077132719</v>
      </c>
      <c r="Z53" s="64">
        <f t="shared" si="31"/>
        <v>108505.03038675373</v>
      </c>
      <c r="AA53" s="64">
        <f t="shared" si="31"/>
        <v>110675.13099448881</v>
      </c>
      <c r="AB53" s="64">
        <f t="shared" si="31"/>
        <v>112888.63361437859</v>
      </c>
      <c r="AC53" s="64">
        <f t="shared" si="31"/>
        <v>115146.40628666616</v>
      </c>
      <c r="AD53" s="64">
        <f t="shared" si="31"/>
        <v>117449.33441239948</v>
      </c>
      <c r="AE53" s="64">
        <f t="shared" si="31"/>
        <v>119798.32110064747</v>
      </c>
      <c r="AF53" s="64">
        <f t="shared" si="31"/>
        <v>122194.28752266042</v>
      </c>
      <c r="AG53" s="64">
        <f t="shared" si="31"/>
        <v>124638.17327311363</v>
      </c>
      <c r="AH53" s="64">
        <f t="shared" si="31"/>
        <v>127130.93673857591</v>
      </c>
      <c r="AI53" s="64">
        <f t="shared" si="31"/>
        <v>129673.55547334743</v>
      </c>
      <c r="AJ53" s="64">
        <f t="shared" si="31"/>
        <v>132267.02658281437</v>
      </c>
      <c r="AK53" s="64">
        <f t="shared" si="31"/>
        <v>134912.36711447066</v>
      </c>
      <c r="AL53" s="64">
        <f t="shared" si="31"/>
        <v>137610.61445676009</v>
      </c>
      <c r="AM53" s="64">
        <f t="shared" si="31"/>
        <v>140362.82674589529</v>
      </c>
      <c r="AN53" s="64">
        <f t="shared" si="31"/>
        <v>143170.08328081321</v>
      </c>
      <c r="AO53" s="64">
        <f t="shared" si="31"/>
        <v>146033.48494642947</v>
      </c>
      <c r="AP53" s="64">
        <f t="shared" si="31"/>
        <v>148954.15464535807</v>
      </c>
      <c r="AQ53" s="64">
        <f t="shared" si="31"/>
        <v>151933.23773826522</v>
      </c>
      <c r="AR53" s="64">
        <f t="shared" si="31"/>
        <v>154971.90249303053</v>
      </c>
      <c r="AS53" s="64">
        <f t="shared" si="31"/>
        <v>158071.34054289115</v>
      </c>
      <c r="AT53" s="64">
        <f t="shared" si="31"/>
        <v>161232.76735374899</v>
      </c>
      <c r="AU53" s="64">
        <f t="shared" si="31"/>
        <v>164457.42270082398</v>
      </c>
      <c r="AV53" s="64">
        <f t="shared" si="31"/>
        <v>167746.57115484047</v>
      </c>
      <c r="AW53" s="64">
        <f t="shared" si="31"/>
        <v>171101.50257793727</v>
      </c>
      <c r="AX53" s="64">
        <f t="shared" si="31"/>
        <v>174523.53262949601</v>
      </c>
      <c r="AY53" s="64">
        <f t="shared" si="31"/>
        <v>178014.00328208593</v>
      </c>
      <c r="AZ53" s="64">
        <f t="shared" si="31"/>
        <v>181574.28334772764</v>
      </c>
      <c r="BA53" s="64">
        <f t="shared" si="31"/>
        <v>185205.76901468221</v>
      </c>
      <c r="BB53" s="64">
        <f t="shared" si="31"/>
        <v>188909.88439497587</v>
      </c>
      <c r="BC53" s="64">
        <f t="shared" si="31"/>
        <v>192688.08208287539</v>
      </c>
      <c r="BD53" s="64">
        <f t="shared" si="31"/>
        <v>196541.8437245329</v>
      </c>
      <c r="BE53" s="64">
        <f t="shared" si="31"/>
        <v>200472.68059902356</v>
      </c>
      <c r="BF53" s="64">
        <f t="shared" si="31"/>
        <v>204482.13421100404</v>
      </c>
      <c r="BG53" s="64">
        <f t="shared" si="31"/>
        <v>208571.77689522412</v>
      </c>
      <c r="BH53" s="64">
        <f t="shared" si="31"/>
        <v>212743.21243312859</v>
      </c>
      <c r="BI53" s="64">
        <f t="shared" si="31"/>
        <v>216998.07668179116</v>
      </c>
      <c r="BJ53" s="64">
        <f t="shared" si="31"/>
        <v>221338.03821542699</v>
      </c>
      <c r="BK53" s="64">
        <f t="shared" si="31"/>
        <v>225764.79897973553</v>
      </c>
      <c r="BL53" s="64">
        <f t="shared" si="31"/>
        <v>230280.09495933025</v>
      </c>
      <c r="BM53" s="64">
        <f t="shared" si="31"/>
        <v>234885.69685851687</v>
      </c>
      <c r="BN53" s="64">
        <f t="shared" si="31"/>
        <v>239583.4107956872</v>
      </c>
      <c r="BO53" s="64">
        <f t="shared" si="31"/>
        <v>244375.07901160096</v>
      </c>
      <c r="BP53" s="64">
        <f t="shared" si="31"/>
        <v>249262.58059183299</v>
      </c>
      <c r="BQ53" s="64">
        <f t="shared" si="31"/>
        <v>254247.83220366965</v>
      </c>
      <c r="BR53" s="64">
        <f t="shared" si="31"/>
        <v>259332.78884774304</v>
      </c>
      <c r="BS53" s="64">
        <f t="shared" si="31"/>
        <v>264519.44462469791</v>
      </c>
      <c r="BT53" s="64">
        <f t="shared" si="31"/>
        <v>269809.83351719187</v>
      </c>
      <c r="BU53" s="64">
        <f t="shared" si="31"/>
        <v>275206.03018753574</v>
      </c>
      <c r="BV53" s="64">
        <f t="shared" si="31"/>
        <v>280710.15079128643</v>
      </c>
      <c r="BW53" s="64">
        <f t="shared" si="31"/>
        <v>286324.35380711214</v>
      </c>
      <c r="BX53" s="64">
        <f t="shared" si="31"/>
        <v>292050.84088325436</v>
      </c>
      <c r="BY53" s="64">
        <f t="shared" si="31"/>
        <v>297891.85770091944</v>
      </c>
      <c r="BZ53" s="64">
        <f t="shared" si="31"/>
        <v>303849.69485493784</v>
      </c>
      <c r="CA53" s="64">
        <f t="shared" si="31"/>
        <v>309926.6887520366</v>
      </c>
      <c r="CB53" s="64">
        <f t="shared" si="31"/>
        <v>316125.22252707736</v>
      </c>
      <c r="CC53" s="64">
        <f t="shared" si="31"/>
        <v>322447.72697761894</v>
      </c>
      <c r="CD53" s="64">
        <f t="shared" si="31"/>
        <v>328896.68151717132</v>
      </c>
      <c r="CE53" s="64">
        <f t="shared" ref="CE53:CG53" si="32">CD53*(1+$D$6)</f>
        <v>335474.61514751473</v>
      </c>
      <c r="CF53" s="64">
        <f t="shared" si="32"/>
        <v>342184.10745046503</v>
      </c>
      <c r="CG53" s="64">
        <f t="shared" si="32"/>
        <v>349027.78959947434</v>
      </c>
    </row>
    <row r="54" spans="1:85" x14ac:dyDescent="0.25">
      <c r="A54" s="1"/>
      <c r="B54" s="6"/>
      <c r="C54" s="23"/>
      <c r="D54" s="23"/>
      <c r="E54" s="23"/>
      <c r="F54" s="23"/>
      <c r="G54" s="23"/>
      <c r="H54" s="13"/>
      <c r="I54" s="1"/>
      <c r="J54" s="1"/>
      <c r="K54" s="1"/>
      <c r="L54" s="1"/>
      <c r="M54" s="1"/>
      <c r="N54" s="1"/>
      <c r="O54" s="1"/>
      <c r="P54" s="1"/>
    </row>
    <row r="55" spans="1:85" x14ac:dyDescent="0.25">
      <c r="A55" s="1"/>
      <c r="B55" s="10" t="s">
        <v>25</v>
      </c>
      <c r="C55" s="26">
        <f>C52+C43+C46-C49</f>
        <v>-8381.3569999999982</v>
      </c>
      <c r="D55" s="26">
        <f>D52+D43+D46-D49</f>
        <v>-7019.999000000008</v>
      </c>
      <c r="E55" s="26">
        <f>E52+E43+E46-E49</f>
        <v>86964</v>
      </c>
      <c r="F55" s="26">
        <f>F52+F43+F46-F49</f>
        <v>69245</v>
      </c>
      <c r="G55" s="26">
        <f>G52+G43+G46-G49</f>
        <v>20306</v>
      </c>
      <c r="H55" s="78">
        <f>H52+H43+H46-H49</f>
        <v>30341.238646399986</v>
      </c>
      <c r="I55" s="26">
        <f>I52+I43+I46-I49</f>
        <v>35406.04948689611</v>
      </c>
      <c r="J55" s="26">
        <f>J52+J43+J46-J49</f>
        <v>42109.148775990936</v>
      </c>
      <c r="K55" s="26">
        <f>K52+K43+K46-K49</f>
        <v>47427.985984464969</v>
      </c>
      <c r="L55" s="26">
        <f>L52+L43+L46-L49</f>
        <v>52645.064442756149</v>
      </c>
      <c r="M55" s="26">
        <f>M52+M43+M46-M49</f>
        <v>56330.218953749092</v>
      </c>
      <c r="N55" s="26">
        <f>N52+N43+N46-N49</f>
        <v>63371.496322967709</v>
      </c>
      <c r="O55" s="26">
        <f>O52+O43+O46-O49</f>
        <v>78635.360903260749</v>
      </c>
      <c r="P55" s="26">
        <f>P52+P43+P46-P49</f>
        <v>96208.881483138801</v>
      </c>
      <c r="Q55" s="26">
        <f>Q52+Q43+Q46-Q49</f>
        <v>116391.40188309284</v>
      </c>
    </row>
    <row r="56" spans="1:85" x14ac:dyDescent="0.25">
      <c r="A56" s="1"/>
      <c r="B56" s="27" t="s">
        <v>26</v>
      </c>
      <c r="C56" s="1"/>
      <c r="D56" s="1"/>
      <c r="E56" s="1"/>
      <c r="F56" s="1"/>
      <c r="G56" s="1"/>
      <c r="H56" s="70">
        <f>H55/((1+$D$5)^H9)</f>
        <v>26333.447824538016</v>
      </c>
      <c r="I56" s="67">
        <f>I55/((1+$D$5)^I9)</f>
        <v>26670.202231307616</v>
      </c>
      <c r="J56" s="67">
        <f>J55/((1+$D$5)^J9)</f>
        <v>27529.588356781653</v>
      </c>
      <c r="K56" s="67">
        <f>K55/((1+$D$5)^K9)</f>
        <v>26911.156162600098</v>
      </c>
      <c r="L56" s="67">
        <f>L55/((1+$D$5)^L9)</f>
        <v>25925.655963185214</v>
      </c>
      <c r="M56" s="67">
        <f>M55/((1+$D$5)^M9)</f>
        <v>24076.200406333039</v>
      </c>
      <c r="N56" s="67">
        <f>N55/((1+$D$5)^N9)</f>
        <v>23507.957154530417</v>
      </c>
      <c r="O56" s="67">
        <f>O55/((1+$D$5)^O9)</f>
        <v>25317.057703939157</v>
      </c>
      <c r="P56" s="67">
        <f>P55/((1+$D$5)^P9)</f>
        <v>26883.44562866972</v>
      </c>
      <c r="Q56" s="67">
        <f>Q55/((1+$D$5)^Q9)</f>
        <v>28227.023381809959</v>
      </c>
    </row>
    <row r="57" spans="1:85" x14ac:dyDescent="0.25">
      <c r="A57" s="1"/>
      <c r="B57" s="28"/>
      <c r="C57" s="28"/>
      <c r="D57" s="28"/>
      <c r="E57" s="28"/>
      <c r="F57" s="28"/>
      <c r="G57" s="28"/>
      <c r="H57" s="16"/>
      <c r="I57" s="1"/>
      <c r="J57" s="1"/>
      <c r="K57" s="1"/>
      <c r="L57" s="1"/>
      <c r="M57" s="1"/>
      <c r="N57" s="1"/>
      <c r="O57" s="1"/>
      <c r="P57" s="1"/>
      <c r="Q57" s="1"/>
    </row>
    <row r="58" spans="1:85" x14ac:dyDescent="0.25">
      <c r="A58" s="1"/>
      <c r="B58" s="1" t="s">
        <v>27</v>
      </c>
      <c r="C58" s="29">
        <f>(Q55*(1+$D$6))/($D$5-$D$6)</f>
        <v>898068.71686583548</v>
      </c>
      <c r="D58" s="1" t="s">
        <v>28</v>
      </c>
      <c r="E58" s="19">
        <f>NPV($D$5,H53:CG53)</f>
        <v>382263.21500104334</v>
      </c>
      <c r="F58" s="1"/>
      <c r="G58" s="1"/>
      <c r="H58" s="16"/>
      <c r="I58" s="1"/>
      <c r="J58" s="1"/>
      <c r="K58" s="1"/>
      <c r="L58" s="1"/>
      <c r="M58" s="1"/>
      <c r="N58" s="1"/>
      <c r="O58" s="1"/>
      <c r="P58" s="1"/>
    </row>
    <row r="59" spans="1:85" x14ac:dyDescent="0.25">
      <c r="A59" s="1"/>
      <c r="B59" s="3" t="s">
        <v>29</v>
      </c>
      <c r="C59" s="30">
        <f>C58/((1+$D$5)^$Q$9)</f>
        <v>217797.9323155343</v>
      </c>
      <c r="D59" s="3"/>
      <c r="E59" s="3"/>
      <c r="F59" s="3"/>
      <c r="G59" s="17"/>
      <c r="H59" s="13"/>
      <c r="I59" s="1"/>
      <c r="K59" s="55" t="s">
        <v>49</v>
      </c>
      <c r="L59" s="56"/>
      <c r="M59" s="56"/>
      <c r="N59" s="56"/>
      <c r="O59" s="56"/>
      <c r="P59" s="55"/>
    </row>
    <row r="60" spans="1:85" x14ac:dyDescent="0.25">
      <c r="A60" s="1"/>
      <c r="B60" s="6" t="s">
        <v>30</v>
      </c>
      <c r="C60" s="1"/>
      <c r="D60" s="6"/>
      <c r="E60" s="6"/>
      <c r="F60" s="31" t="s">
        <v>31</v>
      </c>
      <c r="G60" s="31" t="s">
        <v>28</v>
      </c>
      <c r="H60" s="16"/>
      <c r="I60" s="1"/>
      <c r="J60" s="55"/>
      <c r="K60" s="57">
        <f>C66</f>
        <v>27.832080804459974</v>
      </c>
      <c r="L60" s="58">
        <v>-0.01</v>
      </c>
      <c r="M60" s="58">
        <v>0.01</v>
      </c>
      <c r="N60" s="58">
        <v>0.02</v>
      </c>
      <c r="O60" s="58">
        <v>2.5000000000000001E-2</v>
      </c>
      <c r="P60" s="58">
        <v>0.03</v>
      </c>
    </row>
    <row r="61" spans="1:85" x14ac:dyDescent="0.25">
      <c r="A61" s="1"/>
      <c r="B61" s="32" t="s">
        <v>32</v>
      </c>
      <c r="C61" s="25">
        <v>43533</v>
      </c>
      <c r="D61" s="1"/>
      <c r="E61" s="1"/>
      <c r="F61" s="29">
        <f>C59+SUM(H56:Q56)</f>
        <v>479179.66712922917</v>
      </c>
      <c r="G61" s="19">
        <f>E58</f>
        <v>382263.21500104334</v>
      </c>
      <c r="H61" s="16"/>
      <c r="I61" s="1"/>
      <c r="J61" s="55"/>
      <c r="K61" s="59">
        <f>K62-3%</f>
        <v>9.2193926468201903E-2</v>
      </c>
      <c r="L61" s="60">
        <f t="dataTable" ref="L61:P65" dt2D="1" dtr="1" r1="D6" r2="D5"/>
        <v>47.007165180353915</v>
      </c>
      <c r="M61" s="60">
        <v>53.940695182007417</v>
      </c>
      <c r="N61" s="60">
        <v>58.79975639079084</v>
      </c>
      <c r="O61" s="60">
        <v>61.745205228344602</v>
      </c>
      <c r="P61" s="60">
        <v>65.135099382803276</v>
      </c>
    </row>
    <row r="62" spans="1:85" x14ac:dyDescent="0.25">
      <c r="A62" s="1"/>
      <c r="B62" s="33" t="s">
        <v>33</v>
      </c>
      <c r="C62" s="84">
        <v>30175</v>
      </c>
      <c r="D62" s="3"/>
      <c r="E62" s="3"/>
      <c r="F62" s="3"/>
      <c r="G62" s="3"/>
      <c r="H62" s="16"/>
      <c r="I62" s="1"/>
      <c r="J62" s="56"/>
      <c r="K62" s="59">
        <f>K63-3%</f>
        <v>0.1221939264682019</v>
      </c>
      <c r="L62" s="60">
        <v>33.395046942276991</v>
      </c>
      <c r="M62" s="61">
        <v>36.49216443857609</v>
      </c>
      <c r="N62" s="61">
        <v>38.491194591497234</v>
      </c>
      <c r="O62" s="61">
        <v>39.642757545676488</v>
      </c>
      <c r="P62" s="60">
        <v>40.916851870955455</v>
      </c>
    </row>
    <row r="63" spans="1:85" x14ac:dyDescent="0.25">
      <c r="A63" s="1"/>
      <c r="B63" s="6" t="s">
        <v>34</v>
      </c>
      <c r="C63" s="6"/>
      <c r="D63" s="6"/>
      <c r="E63" s="6"/>
      <c r="F63" s="34">
        <f>(F61+C61-C62)</f>
        <v>492537.66712922917</v>
      </c>
      <c r="G63" s="35">
        <f>(G61+C61-C62)</f>
        <v>395621.21500104334</v>
      </c>
      <c r="H63" s="16"/>
      <c r="I63"/>
      <c r="J63" s="55" t="s">
        <v>1</v>
      </c>
      <c r="K63" s="62">
        <v>0.1521939264682019</v>
      </c>
      <c r="L63" s="60">
        <v>25.294910377067382</v>
      </c>
      <c r="M63" s="61">
        <v>26.867656113229231</v>
      </c>
      <c r="N63" s="63">
        <v>27.832080804459974</v>
      </c>
      <c r="O63" s="61">
        <v>28.370945023962651</v>
      </c>
      <c r="P63" s="60">
        <v>28.953679436406873</v>
      </c>
    </row>
    <row r="64" spans="1:85" x14ac:dyDescent="0.25">
      <c r="A64" s="1"/>
      <c r="B64" s="3" t="s">
        <v>35</v>
      </c>
      <c r="C64" s="39">
        <f>15955668/1000</f>
        <v>15955.668</v>
      </c>
      <c r="D64" s="3"/>
      <c r="E64" s="3"/>
      <c r="F64" s="3"/>
      <c r="G64" s="3"/>
      <c r="H64" s="16"/>
      <c r="I64" s="1"/>
      <c r="J64" s="55"/>
      <c r="K64" s="62">
        <f>K63+1%</f>
        <v>0.16219392646820191</v>
      </c>
      <c r="L64" s="60">
        <v>23.304979892174938</v>
      </c>
      <c r="M64" s="61">
        <v>24.585653430451387</v>
      </c>
      <c r="N64" s="61">
        <v>25.360895230262742</v>
      </c>
      <c r="O64" s="61">
        <v>25.790794559871586</v>
      </c>
      <c r="P64" s="60">
        <v>26.253106408015555</v>
      </c>
    </row>
    <row r="65" spans="1:16" x14ac:dyDescent="0.25">
      <c r="A65" s="1"/>
      <c r="B65" s="18" t="s">
        <v>36</v>
      </c>
      <c r="C65" s="18">
        <f>C64*$I$5</f>
        <v>419634.06839999999</v>
      </c>
      <c r="D65" s="18"/>
      <c r="E65" s="18"/>
      <c r="F65" s="18"/>
      <c r="G65" s="36"/>
      <c r="H65" s="1"/>
      <c r="I65" s="1"/>
      <c r="J65" s="55"/>
      <c r="K65" s="62">
        <f>K64+1%</f>
        <v>0.17219392646820192</v>
      </c>
      <c r="L65" s="60">
        <v>21.567716043319013</v>
      </c>
      <c r="M65" s="60">
        <v>22.619266834449945</v>
      </c>
      <c r="N65" s="60">
        <v>23.248589088407222</v>
      </c>
      <c r="O65" s="60">
        <v>23.595267542719998</v>
      </c>
      <c r="P65" s="60">
        <v>23.966275288120947</v>
      </c>
    </row>
    <row r="66" spans="1:16" x14ac:dyDescent="0.25">
      <c r="A66" s="1"/>
      <c r="B66" s="6" t="s">
        <v>37</v>
      </c>
      <c r="C66" s="37">
        <f>(F66+G66)/2</f>
        <v>27.832080804459974</v>
      </c>
      <c r="E66" s="6"/>
      <c r="F66" s="37">
        <f>F63/C64</f>
        <v>30.869134850965136</v>
      </c>
      <c r="G66" s="37">
        <f>G63/C64</f>
        <v>24.795026757954812</v>
      </c>
      <c r="H66" s="16"/>
      <c r="I66" s="1"/>
    </row>
    <row r="67" spans="1:16" x14ac:dyDescent="0.25">
      <c r="A67"/>
      <c r="C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E7" sqref="E7"/>
    </sheetView>
  </sheetViews>
  <sheetFormatPr defaultRowHeight="15" x14ac:dyDescent="0.25"/>
  <cols>
    <col min="11" max="11" width="11.2851562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4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4" x14ac:dyDescent="0.25">
      <c r="A4" s="44" t="s">
        <v>39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40</v>
      </c>
      <c r="C6" s="2"/>
      <c r="D6" s="45">
        <f>'LOVE DCF'!H40</f>
        <v>0.20880000000000001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41</v>
      </c>
      <c r="C7" s="2"/>
      <c r="D7" s="45">
        <v>5.3999999999999999E-2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42</v>
      </c>
      <c r="C8" s="2"/>
      <c r="D8" s="46">
        <v>2.4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43</v>
      </c>
      <c r="C9" s="2"/>
      <c r="D9" s="45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9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34</v>
      </c>
      <c r="B12" s="2"/>
      <c r="C12" s="25">
        <f>'LOVE DCF'!C65</f>
        <v>419634.06839999999</v>
      </c>
      <c r="D12" s="2"/>
      <c r="E12" s="2" t="s">
        <v>33</v>
      </c>
      <c r="F12" s="2"/>
      <c r="G12" s="25">
        <f>'LOVE DCF'!C62</f>
        <v>30175</v>
      </c>
      <c r="H12" s="2"/>
      <c r="I12" s="2" t="s">
        <v>44</v>
      </c>
      <c r="J12" s="2"/>
      <c r="K12" s="25">
        <f>G12+C12</f>
        <v>449809.06839999999</v>
      </c>
      <c r="L12" s="2"/>
    </row>
    <row r="13" spans="1:14" x14ac:dyDescent="0.25">
      <c r="A13" s="2" t="s">
        <v>45</v>
      </c>
      <c r="B13" s="2"/>
      <c r="C13" s="47">
        <f>C12/K12</f>
        <v>0.93291598120212549</v>
      </c>
      <c r="D13" s="2"/>
      <c r="E13" s="2" t="s">
        <v>46</v>
      </c>
      <c r="F13" s="2"/>
      <c r="G13" s="48">
        <f>G12/K12</f>
        <v>6.708401879787447E-2</v>
      </c>
      <c r="H13" s="2"/>
      <c r="I13" s="2"/>
      <c r="J13" s="2"/>
      <c r="K13" s="2"/>
      <c r="L13" s="2"/>
      <c r="M13" s="39"/>
    </row>
    <row r="14" spans="1:14" x14ac:dyDescent="0.25">
      <c r="A14" s="2" t="s">
        <v>47</v>
      </c>
      <c r="B14" s="2"/>
      <c r="C14" s="49">
        <f>D7+D8*(D9)</f>
        <v>0.16200000000000001</v>
      </c>
      <c r="D14" s="2"/>
      <c r="E14" s="2" t="s">
        <v>48</v>
      </c>
      <c r="F14" s="2"/>
      <c r="G14" s="50">
        <v>0.02</v>
      </c>
      <c r="H14" s="2"/>
      <c r="I14" s="51" t="s">
        <v>1</v>
      </c>
      <c r="J14" s="52"/>
      <c r="K14" s="77">
        <f>C13*C14+G14*G13*(1-D6)</f>
        <v>0.1521939264682019</v>
      </c>
      <c r="L14" s="2"/>
    </row>
    <row r="15" spans="1:14" x14ac:dyDescent="0.25">
      <c r="D15" s="39"/>
      <c r="G15" s="39"/>
      <c r="J15" s="39"/>
      <c r="M15" s="39"/>
    </row>
    <row r="16" spans="1:14" x14ac:dyDescent="0.25">
      <c r="A16" t="s">
        <v>38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4:13" x14ac:dyDescent="0.25">
      <c r="D17" s="39"/>
      <c r="G17" s="39"/>
      <c r="J17" s="39"/>
      <c r="M17" s="39"/>
    </row>
    <row r="21" spans="4:13" x14ac:dyDescent="0.25">
      <c r="D21" s="39"/>
      <c r="E21" s="39"/>
      <c r="F21" s="39"/>
      <c r="G21" s="39"/>
      <c r="H21" s="39"/>
      <c r="I21" s="39"/>
      <c r="J21" s="39"/>
      <c r="K21" s="39"/>
      <c r="L21" s="39"/>
      <c r="M21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LOVE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2023-05-06T08:07:04Z</dcterms:modified>
</cp:coreProperties>
</file>