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B358AB1C-8DE8-408E-8B8B-ACA393421E08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JD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L65" i="1"/>
  <c r="L66" i="1"/>
  <c r="L69" i="1"/>
  <c r="L68" i="1"/>
  <c r="I29" i="1"/>
  <c r="I26" i="1"/>
  <c r="I23" i="1"/>
  <c r="I20" i="1"/>
  <c r="I32" i="1"/>
  <c r="I31" i="1"/>
  <c r="J31" i="1"/>
  <c r="K31" i="1"/>
  <c r="L31" i="1"/>
  <c r="M31" i="1"/>
  <c r="N31" i="1"/>
  <c r="O31" i="1"/>
  <c r="P31" i="1"/>
  <c r="Q31" i="1"/>
  <c r="R31" i="1"/>
  <c r="H56" i="1"/>
  <c r="D68" i="1"/>
  <c r="D69" i="1"/>
  <c r="C12" i="2" s="1"/>
  <c r="D66" i="1"/>
  <c r="D65" i="1"/>
  <c r="I50" i="1"/>
  <c r="I47" i="1"/>
  <c r="H40" i="1"/>
  <c r="I35" i="1"/>
  <c r="I14" i="1"/>
  <c r="J11" i="1"/>
  <c r="J35" i="1" s="1"/>
  <c r="I11" i="1"/>
  <c r="C56" i="1"/>
  <c r="H59" i="1"/>
  <c r="F56" i="1"/>
  <c r="D57" i="1"/>
  <c r="E57" i="1"/>
  <c r="F57" i="1"/>
  <c r="G57" i="1"/>
  <c r="H57" i="1"/>
  <c r="C57" i="1"/>
  <c r="H41" i="3"/>
  <c r="G43" i="1"/>
  <c r="H43" i="1"/>
  <c r="F43" i="1"/>
  <c r="D43" i="1"/>
  <c r="E43" i="1"/>
  <c r="C43" i="1"/>
  <c r="G36" i="1"/>
  <c r="G35" i="1"/>
  <c r="H35" i="1"/>
  <c r="H36" i="1" s="1"/>
  <c r="F35" i="1"/>
  <c r="F36" i="1" s="1"/>
  <c r="D35" i="1"/>
  <c r="D36" i="1" s="1"/>
  <c r="E35" i="1"/>
  <c r="C35" i="1"/>
  <c r="C36" i="1" s="1"/>
  <c r="G28" i="1"/>
  <c r="H28" i="1"/>
  <c r="F28" i="1"/>
  <c r="D28" i="1"/>
  <c r="E28" i="1"/>
  <c r="C28" i="1"/>
  <c r="D25" i="1"/>
  <c r="E25" i="1"/>
  <c r="C25" i="1"/>
  <c r="D22" i="1"/>
  <c r="E22" i="1"/>
  <c r="C22" i="1"/>
  <c r="C31" i="1" s="1"/>
  <c r="D19" i="1"/>
  <c r="E19" i="1"/>
  <c r="E31" i="1" s="1"/>
  <c r="C19" i="1"/>
  <c r="G25" i="1"/>
  <c r="H25" i="1"/>
  <c r="F25" i="1"/>
  <c r="G22" i="1"/>
  <c r="H22" i="1"/>
  <c r="F22" i="1"/>
  <c r="G19" i="1"/>
  <c r="G31" i="1" s="1"/>
  <c r="H19" i="1"/>
  <c r="F19" i="1"/>
  <c r="F31" i="1" s="1"/>
  <c r="G14" i="1"/>
  <c r="H14" i="1"/>
  <c r="F14" i="1"/>
  <c r="D14" i="1"/>
  <c r="E14" i="1"/>
  <c r="C14" i="1"/>
  <c r="D11" i="1"/>
  <c r="E11" i="1"/>
  <c r="E36" i="1" s="1"/>
  <c r="C11" i="1"/>
  <c r="F11" i="1"/>
  <c r="G11" i="1"/>
  <c r="G16" i="1" s="1"/>
  <c r="H11" i="1"/>
  <c r="H16" i="1" s="1"/>
  <c r="K11" i="1" l="1"/>
  <c r="J47" i="1"/>
  <c r="J50" i="1"/>
  <c r="J32" i="1"/>
  <c r="J20" i="1"/>
  <c r="J23" i="1"/>
  <c r="J26" i="1"/>
  <c r="J29" i="1"/>
  <c r="D16" i="1"/>
  <c r="H31" i="1"/>
  <c r="H34" i="1" s="1"/>
  <c r="H38" i="1" s="1"/>
  <c r="D31" i="1"/>
  <c r="D32" i="1" s="1"/>
  <c r="G34" i="1"/>
  <c r="G38" i="1" s="1"/>
  <c r="F16" i="1"/>
  <c r="F34" i="1" s="1"/>
  <c r="F38" i="1" s="1"/>
  <c r="E16" i="1"/>
  <c r="E34" i="1" s="1"/>
  <c r="E38" i="1" s="1"/>
  <c r="C16" i="1"/>
  <c r="C34" i="1" s="1"/>
  <c r="D29" i="1"/>
  <c r="E29" i="1"/>
  <c r="F29" i="1"/>
  <c r="G29" i="1"/>
  <c r="H29" i="1"/>
  <c r="C29" i="1"/>
  <c r="D26" i="1"/>
  <c r="E26" i="1"/>
  <c r="F26" i="1"/>
  <c r="G26" i="1"/>
  <c r="H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C14" i="2"/>
  <c r="G12" i="2"/>
  <c r="F51" i="1"/>
  <c r="G51" i="1"/>
  <c r="H51" i="1"/>
  <c r="E51" i="1"/>
  <c r="D51" i="1"/>
  <c r="C51" i="1"/>
  <c r="E48" i="1"/>
  <c r="D48" i="1"/>
  <c r="C48" i="1"/>
  <c r="F48" i="1"/>
  <c r="G48" i="1"/>
  <c r="H48" i="1"/>
  <c r="F32" i="1"/>
  <c r="G54" i="1"/>
  <c r="H54" i="1"/>
  <c r="H32" i="1"/>
  <c r="G17" i="1"/>
  <c r="E54" i="1"/>
  <c r="D54" i="1"/>
  <c r="C54" i="1"/>
  <c r="D46" i="1"/>
  <c r="E46" i="1" s="1"/>
  <c r="E17" i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L11" i="1" l="1"/>
  <c r="K29" i="1"/>
  <c r="K26" i="1"/>
  <c r="K23" i="1"/>
  <c r="K20" i="1"/>
  <c r="K32" i="1"/>
  <c r="K50" i="1"/>
  <c r="K47" i="1"/>
  <c r="K35" i="1"/>
  <c r="C40" i="1"/>
  <c r="C38" i="1"/>
  <c r="D34" i="1"/>
  <c r="D38" i="1" s="1"/>
  <c r="C17" i="1"/>
  <c r="I53" i="1"/>
  <c r="F54" i="1"/>
  <c r="K12" i="2"/>
  <c r="I16" i="1"/>
  <c r="D40" i="1"/>
  <c r="D17" i="1"/>
  <c r="H17" i="1"/>
  <c r="F17" i="1"/>
  <c r="C32" i="1"/>
  <c r="E32" i="1"/>
  <c r="G32" i="1"/>
  <c r="M11" i="1" l="1"/>
  <c r="L35" i="1"/>
  <c r="L29" i="1"/>
  <c r="L26" i="1"/>
  <c r="L23" i="1"/>
  <c r="L20" i="1"/>
  <c r="L32" i="1"/>
  <c r="L50" i="1"/>
  <c r="L47" i="1"/>
  <c r="D56" i="1"/>
  <c r="D59" i="1" s="1"/>
  <c r="H44" i="1"/>
  <c r="C13" i="2"/>
  <c r="G13" i="2"/>
  <c r="F40" i="1"/>
  <c r="F44" i="1" s="1"/>
  <c r="G40" i="1"/>
  <c r="G56" i="1" s="1"/>
  <c r="E40" i="1"/>
  <c r="D44" i="1"/>
  <c r="D41" i="1"/>
  <c r="N11" i="1" l="1"/>
  <c r="M29" i="1"/>
  <c r="M26" i="1"/>
  <c r="M23" i="1"/>
  <c r="M20" i="1"/>
  <c r="M32" i="1"/>
  <c r="M50" i="1"/>
  <c r="M47" i="1"/>
  <c r="M35" i="1"/>
  <c r="F59" i="1"/>
  <c r="E56" i="1"/>
  <c r="E59" i="1" s="1"/>
  <c r="C59" i="1"/>
  <c r="F41" i="1"/>
  <c r="H41" i="1"/>
  <c r="G44" i="1"/>
  <c r="G59" i="1"/>
  <c r="K14" i="2"/>
  <c r="E5" i="1" s="1"/>
  <c r="G41" i="1"/>
  <c r="C44" i="1"/>
  <c r="C41" i="1"/>
  <c r="E44" i="1"/>
  <c r="E41" i="1"/>
  <c r="O11" i="1" l="1"/>
  <c r="N35" i="1"/>
  <c r="N29" i="1"/>
  <c r="N26" i="1"/>
  <c r="N23" i="1"/>
  <c r="N20" i="1"/>
  <c r="N32" i="1"/>
  <c r="N50" i="1"/>
  <c r="N47" i="1"/>
  <c r="J16" i="1"/>
  <c r="J53" i="1"/>
  <c r="J14" i="1" l="1"/>
  <c r="J34" i="1"/>
  <c r="J40" i="1" s="1"/>
  <c r="J41" i="1" s="1"/>
  <c r="P11" i="1"/>
  <c r="O29" i="1"/>
  <c r="O26" i="1"/>
  <c r="O23" i="1"/>
  <c r="O20" i="1"/>
  <c r="O32" i="1"/>
  <c r="O50" i="1"/>
  <c r="O47" i="1"/>
  <c r="O35" i="1"/>
  <c r="J38" i="1"/>
  <c r="J43" i="1"/>
  <c r="Q11" i="1" l="1"/>
  <c r="P35" i="1"/>
  <c r="P29" i="1"/>
  <c r="P26" i="1"/>
  <c r="P23" i="1"/>
  <c r="P20" i="1"/>
  <c r="P32" i="1"/>
  <c r="P50" i="1"/>
  <c r="P47" i="1"/>
  <c r="J56" i="1"/>
  <c r="J59" i="1" s="1"/>
  <c r="J60" i="1" s="1"/>
  <c r="J57" i="1"/>
  <c r="K16" i="1"/>
  <c r="K53" i="1"/>
  <c r="K34" i="1" l="1"/>
  <c r="K40" i="1" s="1"/>
  <c r="K14" i="1"/>
  <c r="R11" i="1"/>
  <c r="Q29" i="1"/>
  <c r="Q26" i="1"/>
  <c r="Q23" i="1"/>
  <c r="Q20" i="1"/>
  <c r="Q32" i="1"/>
  <c r="Q50" i="1"/>
  <c r="Q47" i="1"/>
  <c r="Q35" i="1"/>
  <c r="L53" i="1"/>
  <c r="L16" i="1"/>
  <c r="L34" i="1" l="1"/>
  <c r="L40" i="1" s="1"/>
  <c r="L14" i="1"/>
  <c r="R35" i="1"/>
  <c r="R29" i="1"/>
  <c r="R26" i="1"/>
  <c r="R23" i="1"/>
  <c r="R20" i="1"/>
  <c r="R32" i="1"/>
  <c r="R50" i="1"/>
  <c r="R47" i="1"/>
  <c r="K41" i="1"/>
  <c r="K43" i="1"/>
  <c r="K56" i="1" s="1"/>
  <c r="K59" i="1" s="1"/>
  <c r="K60" i="1" s="1"/>
  <c r="K38" i="1"/>
  <c r="M53" i="1"/>
  <c r="M16" i="1"/>
  <c r="K57" i="1" l="1"/>
  <c r="M34" i="1"/>
  <c r="M40" i="1" s="1"/>
  <c r="M14" i="1"/>
  <c r="L41" i="1"/>
  <c r="L43" i="1"/>
  <c r="L56" i="1" s="1"/>
  <c r="L59" i="1" s="1"/>
  <c r="L60" i="1" s="1"/>
  <c r="N53" i="1"/>
  <c r="N16" i="1"/>
  <c r="N34" i="1" l="1"/>
  <c r="N40" i="1" s="1"/>
  <c r="N14" i="1"/>
  <c r="M41" i="1"/>
  <c r="M43" i="1"/>
  <c r="M56" i="1" s="1"/>
  <c r="M59" i="1" s="1"/>
  <c r="M60" i="1" s="1"/>
  <c r="M38" i="1"/>
  <c r="L38" i="1"/>
  <c r="L57" i="1" s="1"/>
  <c r="O53" i="1"/>
  <c r="O16" i="1"/>
  <c r="M57" i="1" l="1"/>
  <c r="O34" i="1"/>
  <c r="O40" i="1" s="1"/>
  <c r="O14" i="1"/>
  <c r="N41" i="1"/>
  <c r="N43" i="1"/>
  <c r="N56" i="1" s="1"/>
  <c r="N59" i="1" s="1"/>
  <c r="N60" i="1" s="1"/>
  <c r="N38" i="1"/>
  <c r="P53" i="1"/>
  <c r="P16" i="1"/>
  <c r="N57" i="1" l="1"/>
  <c r="P14" i="1"/>
  <c r="P34" i="1"/>
  <c r="P40" i="1" s="1"/>
  <c r="O41" i="1"/>
  <c r="O43" i="1"/>
  <c r="O56" i="1" s="1"/>
  <c r="O59" i="1" s="1"/>
  <c r="O60" i="1" s="1"/>
  <c r="O38" i="1"/>
  <c r="Q16" i="1"/>
  <c r="Q53" i="1"/>
  <c r="P41" i="1" l="1"/>
  <c r="P43" i="1"/>
  <c r="P56" i="1" s="1"/>
  <c r="P59" i="1" s="1"/>
  <c r="P60" i="1" s="1"/>
  <c r="Q34" i="1"/>
  <c r="Q40" i="1" s="1"/>
  <c r="Q14" i="1"/>
  <c r="O57" i="1"/>
  <c r="P38" i="1"/>
  <c r="P57" i="1" s="1"/>
  <c r="R16" i="1"/>
  <c r="R53" i="1"/>
  <c r="R14" i="1" l="1"/>
  <c r="R34" i="1"/>
  <c r="R40" i="1" s="1"/>
  <c r="Q41" i="1"/>
  <c r="Q43" i="1"/>
  <c r="Q56" i="1" s="1"/>
  <c r="Q59" i="1" s="1"/>
  <c r="Q60" i="1" s="1"/>
  <c r="Q38" i="1"/>
  <c r="R41" i="1" l="1"/>
  <c r="R43" i="1"/>
  <c r="R56" i="1" s="1"/>
  <c r="R59" i="1" s="1"/>
  <c r="C62" i="1" s="1"/>
  <c r="C63" i="1" s="1"/>
  <c r="Q57" i="1"/>
  <c r="R38" i="1"/>
  <c r="R57" i="1" s="1"/>
  <c r="R60" i="1" l="1"/>
  <c r="S57" i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BJ57" i="1" s="1"/>
  <c r="BK57" i="1" s="1"/>
  <c r="BL57" i="1" s="1"/>
  <c r="BM57" i="1" s="1"/>
  <c r="BN57" i="1" s="1"/>
  <c r="BO57" i="1" s="1"/>
  <c r="BP57" i="1" s="1"/>
  <c r="BQ57" i="1" s="1"/>
  <c r="BR57" i="1" s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I34" i="1"/>
  <c r="I38" i="1" l="1"/>
  <c r="I40" i="1"/>
  <c r="I41" i="1" l="1"/>
  <c r="I43" i="1"/>
  <c r="I57" i="1"/>
  <c r="F62" i="1" s="1"/>
  <c r="H65" i="1" s="1"/>
  <c r="H67" i="1" s="1"/>
  <c r="H70" i="1" s="1"/>
  <c r="I59" i="1" l="1"/>
  <c r="I60" i="1" s="1"/>
  <c r="G65" i="1" s="1"/>
  <c r="G67" i="1" s="1"/>
  <c r="G70" i="1" s="1"/>
  <c r="D70" i="1" s="1"/>
  <c r="I56" i="1"/>
  <c r="L64" i="1" l="1"/>
  <c r="N5" i="1"/>
</calcChain>
</file>

<file path=xl/sharedStrings.xml><?xml version="1.0" encoding="utf-8"?>
<sst xmlns="http://schemas.openxmlformats.org/spreadsheetml/2006/main" count="274" uniqueCount="163">
  <si>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</si>
  <si>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</si>
  <si>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</si>
  <si>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</si>
  <si>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</si>
  <si>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</si>
  <si>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</si>
  <si>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</si>
  <si>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</si>
  <si>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</si>
  <si>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</si>
  <si>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</si>
  <si>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</si>
  <si>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S&amp;M</t>
  </si>
  <si>
    <t>G&amp;A</t>
  </si>
  <si>
    <t xml:space="preserve">Other 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</si>
  <si>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</si>
  <si>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</si>
  <si>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</si>
  <si>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</si>
  <si>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</si>
  <si>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</si>
  <si>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</si>
  <si>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</si>
  <si>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</si>
  <si>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</si>
  <si>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</si>
  <si>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</si>
  <si>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</si>
  <si>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</si>
  <si>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</si>
  <si>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</si>
  <si>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</si>
  <si>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</si>
  <si>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</si>
  <si>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</si>
  <si>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</si>
  <si>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</si>
  <si>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</si>
  <si>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</si>
  <si>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</si>
  <si>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</si>
  <si>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</si>
  <si>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</si>
  <si>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</si>
  <si>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</si>
  <si>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</si>
  <si>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</si>
  <si>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</si>
  <si>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</si>
  <si>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</si>
  <si>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</si>
  <si>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</si>
  <si>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</si>
  <si>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</si>
  <si>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USD/CNY</t>
  </si>
  <si>
    <t>Cross Rate</t>
  </si>
  <si>
    <t xml:space="preserve">                                             Terminal Growth Rate</t>
  </si>
  <si>
    <t>Last update</t>
  </si>
  <si>
    <t>For the year ended December 31,</t>
  </si>
  <si>
    <t>2020</t>
  </si>
  <si>
    <t>2021</t>
  </si>
  <si>
    <t>2022</t>
  </si>
  <si>
    <t>RMB</t>
  </si>
  <si>
    <t>US$</t>
  </si>
  <si>
    <t>Note 2(g)</t>
  </si>
  <si>
    <t>Marketing</t>
  </si>
  <si>
    <t>—</t>
  </si>
  <si>
    <t>General and administrative</t>
  </si>
  <si>
    <t>Other income/(expense)</t>
  </si>
  <si>
    <t>Income/(loss) before tax</t>
  </si>
  <si>
    <t>Income tax expenses</t>
  </si>
  <si>
    <t>Net income/(loss)</t>
  </si>
  <si>
    <t>Net income/(loss) attributable to ordinary shareholders</t>
  </si>
  <si>
    <t>Cash flows from investing activities:</t>
  </si>
  <si>
    <t>Purchase of short-term investments</t>
  </si>
  <si>
    <t>Maturity of short-term investments</t>
  </si>
  <si>
    <t>Other investing activities</t>
  </si>
  <si>
    <t>2017</t>
  </si>
  <si>
    <t>2018</t>
  </si>
  <si>
    <t>2019</t>
  </si>
  <si>
    <t>(Note 2)</t>
  </si>
  <si>
    <t>Research and development</t>
  </si>
  <si>
    <t>Interest income</t>
  </si>
  <si>
    <t>Total comprehensive loss</t>
  </si>
  <si>
    <t>Consolidated Statements of Operations and Comprehensive Income/(Loss)</t>
  </si>
  <si>
    <t>Notes</t>
  </si>
  <si>
    <t>(in millions, except share and per share data)</t>
  </si>
  <si>
    <t>Net revenues</t>
  </si>
  <si>
    <t>Net product revenues</t>
  </si>
  <si>
    <t>2(y)</t>
  </si>
  <si>
    <t>Net service revenues</t>
  </si>
  <si>
    <t>Total net revenues</t>
  </si>
  <si>
    <t>Cost of revenues</t>
  </si>
  <si>
    <t>Fulfillment</t>
  </si>
  <si>
    <t>Gain on sale of development properties</t>
  </si>
  <si>
    <t>Income from operations</t>
  </si>
  <si>
    <t>Share of results of equity investees</t>
  </si>
  <si>
    <t>Interest expense</t>
  </si>
  <si>
    <t>Others, net</t>
  </si>
  <si>
    <t>Net loss attributable to  non-controlling  interests shareholders</t>
  </si>
  <si>
    <t>Net income attributable to mezzanine equity classified as  non-controlling  interests shareholders</t>
  </si>
  <si>
    <t>Consolidated Statements of Cash Flows</t>
  </si>
  <si>
    <t>Cash flows from operating activities:</t>
  </si>
  <si>
    <t>Adjustments to reconcile net income/(loss) to net cash provided by operating activities:</t>
  </si>
  <si>
    <t>Depreciation and amortization</t>
  </si>
  <si>
    <t>Share-based compensation</t>
  </si>
  <si>
    <t>Deferred income tax</t>
  </si>
  <si>
    <t>Amortization of discounts and issuance costs of the unsecured senior notes</t>
  </si>
  <si>
    <t>Impairment of investments</t>
  </si>
  <si>
    <t>Fair value change of long-term investments</t>
  </si>
  <si>
    <t>Foreign exchange (gains)/losses</t>
  </si>
  <si>
    <t>Changes in operating assets and liabilities:</t>
  </si>
  <si>
    <t>Accounts receivable</t>
  </si>
  <si>
    <t>Advance to suppliers</t>
  </si>
  <si>
    <t>Inventories</t>
  </si>
  <si>
    <t>Prepayments and other current assets</t>
  </si>
  <si>
    <t>Amount due from related parties</t>
  </si>
  <si>
    <t>Accounts payable</t>
  </si>
  <si>
    <t>Advance from customers</t>
  </si>
  <si>
    <t>Deferred revenues</t>
  </si>
  <si>
    <t>Taxes payable</t>
  </si>
  <si>
    <t>Amount due to related parties</t>
  </si>
  <si>
    <t>Accrued expenses and other current liabilities</t>
  </si>
  <si>
    <t>Operating lease liabilities</t>
  </si>
  <si>
    <t>Net cash provided by operating activities</t>
  </si>
  <si>
    <t>Other non-current assets</t>
  </si>
  <si>
    <t>Net cash used in investing activities</t>
  </si>
  <si>
    <t>Impairment of goodwill and intangible assets</t>
  </si>
  <si>
    <t>Income/(loss) from operations</t>
  </si>
  <si>
    <t>Net income/(loss) from continuing operations</t>
  </si>
  <si>
    <t>Net income from discontinued operations, net of tax</t>
  </si>
  <si>
    <t>Net loss from continuing operations attributable to non-controlling interests shareholders</t>
  </si>
  <si>
    <t>Net loss from discontinued operations attributable to non-controlling interests shareholders</t>
  </si>
  <si>
    <t>Net income from continuing operations attributable to mezzanine equity classified as non-controlling interests shareholders</t>
  </si>
  <si>
    <t>Net income from discontinued operations attributable to mezzanine equity classified as non-controlling interests shareholders</t>
  </si>
  <si>
    <t>Including: Net loss from discontinued operations attributable to ordinary shareholders</t>
  </si>
  <si>
    <t>Net income/(loss) from continuing operations attributable to ordinary shareholders</t>
  </si>
  <si>
    <t>Purchases of investment securities</t>
  </si>
  <si>
    <t>Cash received from disposal of investment securities</t>
  </si>
  <si>
    <t>Cash paid for loan originations</t>
  </si>
  <si>
    <t>Cash received from loan repayments</t>
  </si>
  <si>
    <t>Purchase of property, equipment and software</t>
  </si>
  <si>
    <t>Purchase of intangible assets</t>
  </si>
  <si>
    <t>Purchase of land use rights</t>
  </si>
  <si>
    <t>Cash paid for construction in progress</t>
  </si>
  <si>
    <t>Note2(g)</t>
  </si>
  <si>
    <t>Loss from discontinued operations, net of income tax</t>
  </si>
  <si>
    <t>(Gains)/losses from disposal of property, equipment and software</t>
  </si>
  <si>
    <t>Gain from business and investment disposals</t>
  </si>
  <si>
    <t>Gain on sale of development properties</t>
  </si>
  <si>
    <t>Operating lease right-of-use assets</t>
  </si>
  <si>
    <t>Net cash provided by continuing operating activities</t>
  </si>
  <si>
    <t>Net cash used in discontinued operating activities</t>
  </si>
  <si>
    <t>Cash paid for investments in equity investees</t>
  </si>
  <si>
    <t>Cash received from disposal of equity investment</t>
  </si>
  <si>
    <t>Cash received from sale of development properties</t>
  </si>
  <si>
    <t>Cash paid for business combination, net of cash acquired</t>
  </si>
  <si>
    <t>Loans (provided to)/settled by JD Digits</t>
  </si>
  <si>
    <t>Proceeds from JD Digits reorganization (Note 6)</t>
  </si>
  <si>
    <t>Net cash used in continuing investing activities</t>
  </si>
  <si>
    <t>Net cash used in discontinued investing activities</t>
  </si>
  <si>
    <t>JD.com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</si>
</sst>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\(#,##0_);[Red]\(#,##0\)"/>
    <numFmt numFmtId="168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9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3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0" fontId="10" fillId="0" borderId="0" xfId="0" applyFont="1"/>
    <xf numFmtId="165" fontId="0" fillId="0" borderId="0" xfId="0" applyNumberFormat="1"/>
    <xf numFmtId="165" fontId="10" fillId="0" borderId="0" xfId="0" applyNumberFormat="1" applyFont="1" applyAlignment="1">
      <alignment horizontal="right"/>
    </xf>
    <xf numFmtId="0" fontId="3" fillId="2" borderId="0" xfId="1" applyNumberFormat="1" applyFont="1" applyFill="1"/>
    <xf numFmtId="1" fontId="3" fillId="2" borderId="0" xfId="1" applyNumberFormat="1" applyFont="1" applyFill="1"/>
    <xf numFmtId="164" fontId="11" fillId="2" borderId="4" xfId="1" applyNumberFormat="1" applyFont="1" applyFill="1" applyBorder="1"/>
    <xf numFmtId="0" fontId="0" fillId="0" borderId="0" xfId="0"/>
    <xf numFmtId="0" fontId="10" fillId="0" borderId="0" xfId="0" applyFont="1"/>
    <xf numFmtId="168" fontId="3" fillId="2" borderId="0" xfId="1" applyNumberFormat="1" applyFont="1" applyFill="1"/>
    <xf numFmtId="0" fontId="2" fillId="4" borderId="4" xfId="0" applyFont="1" applyFill="1" applyBorder="1"/>
    <xf numFmtId="1" fontId="0" fillId="2" borderId="4" xfId="0" applyNumberFormat="1" applyFont="1" applyFill="1" applyBorder="1"/>
    <xf numFmtId="0" fontId="0" fillId="2" borderId="4" xfId="0" applyFont="1" applyFill="1" applyBorder="1"/>
    <xf numFmtId="1" fontId="0" fillId="2" borderId="14" xfId="0" applyNumberFormat="1" applyFont="1" applyFill="1" applyBorder="1"/>
    <xf numFmtId="3" fontId="0" fillId="2" borderId="4" xfId="0" applyNumberFormat="1" applyFont="1" applyFill="1" applyBorder="1"/>
    <xf numFmtId="164" fontId="11" fillId="2" borderId="0" xfId="1" applyNumberFormat="1" applyFont="1" applyFill="1" applyBorder="1"/>
    <xf numFmtId="0" fontId="2" fillId="3" borderId="4" xfId="0" applyFont="1" applyFill="1" applyBorder="1"/>
    <xf numFmtId="0" fontId="2" fillId="4" borderId="0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3" fontId="0" fillId="2" borderId="0" xfId="0" applyNumberFormat="1" applyFont="1" applyFill="1" applyBorder="1"/>
    <xf numFmtId="0" fontId="2" fillId="3" borderId="0" xfId="0" applyFont="1" applyFill="1" applyBorder="1"/>
    <xf numFmtId="1" fontId="0" fillId="2" borderId="1" xfId="0" applyNumberFormat="1" applyFont="1" applyFill="1" applyBorder="1"/>
    <xf numFmtId="0" fontId="7" fillId="8" borderId="0" xfId="0" applyFont="1" applyFill="1"/>
    <xf numFmtId="164" fontId="7" fillId="8" borderId="0" xfId="1" applyNumberFormat="1" applyFont="1" applyFill="1"/>
    <xf numFmtId="164" fontId="11" fillId="8" borderId="4" xfId="1" applyNumberFormat="1" applyFont="1" applyFill="1" applyBorder="1"/>
    <xf numFmtId="164" fontId="11" fillId="8" borderId="0" xfId="1" applyNumberFormat="1" applyFont="1" applyFill="1" applyBorder="1"/>
    <xf numFmtId="10" fontId="11" fillId="8" borderId="4" xfId="0" applyNumberFormat="1" applyFont="1" applyFill="1" applyBorder="1"/>
    <xf numFmtId="10" fontId="11" fillId="8" borderId="0" xfId="0" applyNumberFormat="1" applyFont="1" applyFill="1" applyBorder="1"/>
    <xf numFmtId="164" fontId="3" fillId="8" borderId="0" xfId="1" applyNumberFormat="1" applyFont="1" applyFill="1"/>
    <xf numFmtId="164" fontId="11" fillId="8" borderId="4" xfId="0" applyNumberFormat="1" applyFont="1" applyFill="1" applyBorder="1"/>
    <xf numFmtId="164" fontId="11" fillId="8" borderId="0" xfId="0" applyNumberFormat="1" applyFont="1" applyFill="1" applyBorder="1"/>
    <xf numFmtId="164" fontId="0" fillId="8" borderId="4" xfId="0" applyNumberFormat="1" applyFont="1" applyFill="1" applyBorder="1"/>
    <xf numFmtId="164" fontId="0" fillId="8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1"/>
  <sheetViews>
    <sheetView tabSelected="1" topLeftCell="A64" workbookViewId="0">
      <selection activeCell="D74" sqref="D74"/>
    </sheetView>
  </sheetViews>
  <sheetFormatPr defaultRowHeight="15" x14ac:dyDescent="0.25"/>
  <cols>
    <col min="1" max="1" width="7.7109375" style="2" customWidth="1"/>
    <col min="2" max="2" width="14.5703125" style="2" customWidth="1"/>
    <col min="3" max="3" width="10.85546875" style="2" bestFit="1" customWidth="1"/>
    <col min="4" max="5" width="9.140625" style="2"/>
    <col min="6" max="6" width="12.140625" style="2" bestFit="1" customWidth="1"/>
    <col min="7" max="7" width="9.140625" style="2"/>
    <col min="8" max="8" width="11" style="2" customWidth="1"/>
    <col min="9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1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9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0.10559907129591536</v>
      </c>
      <c r="G5" s="1"/>
      <c r="H5" s="1" t="s">
        <v>2</v>
      </c>
      <c r="I5" s="1"/>
      <c r="J5" s="7">
        <v>34.67</v>
      </c>
      <c r="K5" s="1"/>
      <c r="L5" s="1" t="s">
        <v>3</v>
      </c>
      <c r="M5" s="1"/>
      <c r="N5" s="65">
        <f>(J6/J5)-1</f>
        <v>0.68762996545002553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0.02</v>
      </c>
      <c r="G6" s="1"/>
      <c r="H6" s="1" t="s">
        <v>5</v>
      </c>
      <c r="I6" s="1"/>
      <c r="J6" s="7">
        <f>2/3*G70+1/3*H70</f>
        <v>58.51013090215239</v>
      </c>
      <c r="K6" s="1"/>
      <c r="L6" s="1" t="s">
        <v>58</v>
      </c>
      <c r="M6" s="1"/>
      <c r="N6" s="64">
        <v>45051</v>
      </c>
      <c r="O6" s="1"/>
      <c r="P6" s="1"/>
      <c r="Q6" s="1"/>
    </row>
    <row r="7" spans="1:86" x14ac:dyDescent="0.25">
      <c r="B7" s="64"/>
      <c r="C7" s="1"/>
      <c r="D7" s="1"/>
      <c r="E7" s="9"/>
      <c r="F7" s="1"/>
      <c r="G7" s="1"/>
      <c r="H7" s="1"/>
      <c r="I7" s="1"/>
      <c r="J7" s="1"/>
      <c r="K7" s="1"/>
      <c r="L7" s="57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6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75">
        <v>2023</v>
      </c>
      <c r="J10" s="82">
        <v>2024</v>
      </c>
      <c r="K10" s="82">
        <v>2025</v>
      </c>
      <c r="L10" s="82">
        <v>2026</v>
      </c>
      <c r="M10" s="82">
        <v>2027</v>
      </c>
      <c r="N10" s="82">
        <v>2028</v>
      </c>
      <c r="O10" s="82">
        <v>2029</v>
      </c>
      <c r="P10" s="82">
        <v>2030</v>
      </c>
      <c r="Q10" s="82">
        <v>2031</v>
      </c>
      <c r="R10" s="82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f>'Raw IS'!D11/1000</f>
        <v>362331.75400000002</v>
      </c>
      <c r="D11" s="12">
        <f>'Raw IS'!E11/1000</f>
        <v>462019.75900000002</v>
      </c>
      <c r="E11" s="12">
        <f>'Raw IS'!F11/1000</f>
        <v>576888.48400000005</v>
      </c>
      <c r="F11" s="12">
        <f>'Raw IS'!N13</f>
        <v>745802</v>
      </c>
      <c r="G11" s="12">
        <f>'Raw IS'!O13</f>
        <v>951592</v>
      </c>
      <c r="H11" s="12">
        <f>'Raw IS'!P13</f>
        <v>1046236</v>
      </c>
      <c r="I11" s="76">
        <f>H11*(1+I12)</f>
        <v>1099810</v>
      </c>
      <c r="J11" s="83">
        <f t="shared" ref="J11:R11" si="1">I11*(1+J12)</f>
        <v>1212580</v>
      </c>
      <c r="K11" s="83">
        <f t="shared" si="1"/>
        <v>1324670</v>
      </c>
      <c r="L11" s="83">
        <f t="shared" si="1"/>
        <v>1408560</v>
      </c>
      <c r="M11" s="83">
        <f t="shared" si="1"/>
        <v>1501880</v>
      </c>
      <c r="N11" s="83">
        <f t="shared" si="1"/>
        <v>1586870</v>
      </c>
      <c r="O11" s="83">
        <f t="shared" si="1"/>
        <v>1628840</v>
      </c>
      <c r="P11" s="83">
        <f t="shared" si="1"/>
        <v>1694490.0000000002</v>
      </c>
      <c r="Q11" s="83">
        <f t="shared" si="1"/>
        <v>1782020.0000000002</v>
      </c>
      <c r="R11" s="83">
        <f t="shared" si="1"/>
        <v>1886070.0000000002</v>
      </c>
    </row>
    <row r="12" spans="1:86" x14ac:dyDescent="0.25">
      <c r="A12" s="1"/>
      <c r="B12" s="88" t="s">
        <v>8</v>
      </c>
      <c r="C12" s="89"/>
      <c r="D12" s="89">
        <f>(D11/C11)-1</f>
        <v>0.27512908791317248</v>
      </c>
      <c r="E12" s="89">
        <f t="shared" ref="E12:H12" si="2">(E11/D11)-1</f>
        <v>0.24862297068987482</v>
      </c>
      <c r="F12" s="89">
        <f t="shared" si="2"/>
        <v>0.29280098439267843</v>
      </c>
      <c r="G12" s="89">
        <f t="shared" si="2"/>
        <v>0.27593114526375628</v>
      </c>
      <c r="H12" s="89">
        <f t="shared" si="2"/>
        <v>9.945859149719638E-2</v>
      </c>
      <c r="I12" s="90">
        <v>5.1206419966431937E-2</v>
      </c>
      <c r="J12" s="91">
        <v>0.1025358925632609</v>
      </c>
      <c r="K12" s="91">
        <v>9.2439261739431622E-2</v>
      </c>
      <c r="L12" s="91">
        <v>6.3328980047860917E-2</v>
      </c>
      <c r="M12" s="91">
        <v>6.6252058840233996E-2</v>
      </c>
      <c r="N12" s="91">
        <v>5.6589075025967439E-2</v>
      </c>
      <c r="O12" s="91">
        <v>2.6448291290401826E-2</v>
      </c>
      <c r="P12" s="91">
        <v>4.0304756759411697E-2</v>
      </c>
      <c r="Q12" s="91">
        <v>5.1655660405195647E-2</v>
      </c>
      <c r="R12" s="91">
        <v>5.8388794738555072E-2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77"/>
      <c r="J13" s="84"/>
      <c r="K13" s="84"/>
      <c r="L13" s="84"/>
      <c r="M13" s="84"/>
      <c r="N13" s="84"/>
      <c r="O13" s="84"/>
      <c r="P13" s="84"/>
      <c r="Q13" s="84"/>
      <c r="R13" s="84"/>
    </row>
    <row r="14" spans="1:86" x14ac:dyDescent="0.25">
      <c r="A14" s="1"/>
      <c r="B14" s="1" t="s">
        <v>9</v>
      </c>
      <c r="C14" s="12">
        <f>'Raw IS'!D13/1000</f>
        <v>-311516.83100000001</v>
      </c>
      <c r="D14" s="12">
        <f>'Raw IS'!E13/1000</f>
        <v>-396066.12599999999</v>
      </c>
      <c r="E14" s="12">
        <f>'Raw IS'!F13/1000</f>
        <v>-492467.391</v>
      </c>
      <c r="F14" s="12">
        <f>'Raw IS'!N15</f>
        <v>-636694</v>
      </c>
      <c r="G14" s="12">
        <f>'Raw IS'!O15</f>
        <v>-822526</v>
      </c>
      <c r="H14" s="12">
        <f>'Raw IS'!P15</f>
        <v>-899163</v>
      </c>
      <c r="I14" s="78">
        <f>I16-I11</f>
        <v>-938687.83499999996</v>
      </c>
      <c r="J14" s="87">
        <f t="shared" ref="J14:R14" si="3">J16-J11</f>
        <v>-1033845.708</v>
      </c>
      <c r="K14" s="87">
        <f t="shared" si="3"/>
        <v>-1125307.165</v>
      </c>
      <c r="L14" s="87">
        <f t="shared" si="3"/>
        <v>-1198684.56</v>
      </c>
      <c r="M14" s="87">
        <f t="shared" si="3"/>
        <v>-1275096.1200000001</v>
      </c>
      <c r="N14" s="87">
        <f t="shared" si="3"/>
        <v>-1344078.8900000001</v>
      </c>
      <c r="O14" s="87">
        <f t="shared" si="3"/>
        <v>-1376369.8</v>
      </c>
      <c r="P14" s="87">
        <f t="shared" si="3"/>
        <v>-1428455.0700000003</v>
      </c>
      <c r="Q14" s="87">
        <f t="shared" si="3"/>
        <v>-1498678.8200000003</v>
      </c>
      <c r="R14" s="87">
        <f t="shared" si="3"/>
        <v>-1582412.7300000002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77"/>
      <c r="J15" s="84"/>
      <c r="K15" s="84"/>
      <c r="L15" s="84"/>
      <c r="M15" s="84"/>
      <c r="N15" s="84"/>
      <c r="O15" s="84"/>
      <c r="P15" s="84"/>
      <c r="Q15" s="84"/>
      <c r="R15" s="84"/>
    </row>
    <row r="16" spans="1:86" x14ac:dyDescent="0.25">
      <c r="A16" s="1"/>
      <c r="B16" s="1" t="s">
        <v>10</v>
      </c>
      <c r="C16" s="12">
        <f>C11+C14</f>
        <v>50814.92300000001</v>
      </c>
      <c r="D16" s="12">
        <f t="shared" ref="D16:H16" si="4">D11+D14</f>
        <v>65953.633000000031</v>
      </c>
      <c r="E16" s="12">
        <f t="shared" si="4"/>
        <v>84421.093000000052</v>
      </c>
      <c r="F16" s="12">
        <f t="shared" si="4"/>
        <v>109108</v>
      </c>
      <c r="G16" s="12">
        <f t="shared" si="4"/>
        <v>129066</v>
      </c>
      <c r="H16" s="12">
        <f t="shared" si="4"/>
        <v>147073</v>
      </c>
      <c r="I16" s="76">
        <f>I11*I17</f>
        <v>161122.16499999998</v>
      </c>
      <c r="J16" s="83">
        <f t="shared" ref="J16:R16" si="5">J11*J17</f>
        <v>178734.29200000002</v>
      </c>
      <c r="K16" s="83">
        <f t="shared" si="5"/>
        <v>199362.83499999999</v>
      </c>
      <c r="L16" s="83">
        <f t="shared" si="5"/>
        <v>209875.44</v>
      </c>
      <c r="M16" s="83">
        <f t="shared" si="5"/>
        <v>226783.88</v>
      </c>
      <c r="N16" s="83">
        <f t="shared" si="5"/>
        <v>242791.11</v>
      </c>
      <c r="O16" s="83">
        <f t="shared" si="5"/>
        <v>252470.2</v>
      </c>
      <c r="P16" s="83">
        <f t="shared" si="5"/>
        <v>266034.93000000005</v>
      </c>
      <c r="Q16" s="83">
        <f t="shared" si="5"/>
        <v>283341.18000000005</v>
      </c>
      <c r="R16" s="83">
        <f t="shared" si="5"/>
        <v>303657.27</v>
      </c>
    </row>
    <row r="17" spans="1:18" x14ac:dyDescent="0.25">
      <c r="A17" s="1"/>
      <c r="B17" s="88" t="s">
        <v>11</v>
      </c>
      <c r="C17" s="89">
        <f>C16/C11</f>
        <v>0.14024418903124899</v>
      </c>
      <c r="D17" s="89">
        <f t="shared" ref="D17:H17" si="6">D16/D11</f>
        <v>0.14275067616751003</v>
      </c>
      <c r="E17" s="89">
        <f t="shared" si="6"/>
        <v>0.14633866915603058</v>
      </c>
      <c r="F17" s="89">
        <f t="shared" si="6"/>
        <v>0.14629620194099774</v>
      </c>
      <c r="G17" s="89">
        <f t="shared" si="6"/>
        <v>0.13563165726487822</v>
      </c>
      <c r="H17" s="89">
        <f t="shared" si="6"/>
        <v>0.14057344614408221</v>
      </c>
      <c r="I17" s="92">
        <v>0.14649999999999999</v>
      </c>
      <c r="J17" s="93">
        <v>0.1474</v>
      </c>
      <c r="K17" s="93">
        <v>0.15049999999999999</v>
      </c>
      <c r="L17" s="93">
        <v>0.14899999999999999</v>
      </c>
      <c r="M17" s="93">
        <v>0.151</v>
      </c>
      <c r="N17" s="93">
        <v>0.153</v>
      </c>
      <c r="O17" s="93">
        <v>0.155</v>
      </c>
      <c r="P17" s="93">
        <v>0.157</v>
      </c>
      <c r="Q17" s="93">
        <v>0.159</v>
      </c>
      <c r="R17" s="93">
        <v>0.161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77"/>
      <c r="J18" s="84"/>
      <c r="K18" s="84"/>
      <c r="L18" s="84"/>
      <c r="M18" s="84"/>
      <c r="N18" s="84"/>
      <c r="O18" s="84"/>
      <c r="P18" s="84"/>
      <c r="Q18" s="84"/>
      <c r="R18" s="84"/>
    </row>
    <row r="19" spans="1:18" x14ac:dyDescent="0.25">
      <c r="A19" s="1"/>
      <c r="B19" s="1" t="s">
        <v>12</v>
      </c>
      <c r="C19" s="12">
        <f>'Raw IS'!D16/1000</f>
        <v>-6652.3739999999998</v>
      </c>
      <c r="D19" s="12">
        <f>'Raw IS'!E16/1000</f>
        <v>-12144.383</v>
      </c>
      <c r="E19" s="12">
        <f>'Raw IS'!F16/1000</f>
        <v>-14618.677</v>
      </c>
      <c r="F19" s="12">
        <f>'Raw IS'!N18</f>
        <v>-16149</v>
      </c>
      <c r="G19" s="12">
        <f>'Raw IS'!O18</f>
        <v>-16332</v>
      </c>
      <c r="H19" s="12">
        <f>'Raw IS'!P18</f>
        <v>-16893</v>
      </c>
      <c r="I19" s="76">
        <v>-17506.801975439997</v>
      </c>
      <c r="J19" s="83">
        <v>-19301.877541919999</v>
      </c>
      <c r="K19" s="83">
        <v>-20207.540149910001</v>
      </c>
      <c r="L19" s="83">
        <v>-20926.725759744</v>
      </c>
      <c r="M19" s="83">
        <v>-21914.715061359999</v>
      </c>
      <c r="N19" s="83">
        <v>-22102.355401770001</v>
      </c>
      <c r="O19" s="83">
        <v>-22686.924935639996</v>
      </c>
      <c r="P19" s="83">
        <v>-23196.721939473602</v>
      </c>
      <c r="Q19" s="83">
        <v>-24111.301559208001</v>
      </c>
      <c r="R19" s="83">
        <v>-25268.943834114005</v>
      </c>
    </row>
    <row r="20" spans="1:18" x14ac:dyDescent="0.25">
      <c r="A20" s="1"/>
      <c r="B20" s="88" t="s">
        <v>21</v>
      </c>
      <c r="C20" s="89">
        <f>C19/C11</f>
        <v>-1.8359897874145471E-2</v>
      </c>
      <c r="D20" s="89">
        <f t="shared" ref="D20:R20" si="7">D19/D11</f>
        <v>-2.6285419104770363E-2</v>
      </c>
      <c r="E20" s="89">
        <f t="shared" si="7"/>
        <v>-2.5340559580315697E-2</v>
      </c>
      <c r="F20" s="89">
        <f t="shared" si="7"/>
        <v>-2.1653200179136016E-2</v>
      </c>
      <c r="G20" s="89">
        <f t="shared" si="7"/>
        <v>-1.7162817678164591E-2</v>
      </c>
      <c r="H20" s="89">
        <f t="shared" si="7"/>
        <v>-1.614645261680921E-2</v>
      </c>
      <c r="I20" s="90">
        <f t="shared" si="7"/>
        <v>-1.5918023999999999E-2</v>
      </c>
      <c r="J20" s="91">
        <f t="shared" si="7"/>
        <v>-1.5918023999999999E-2</v>
      </c>
      <c r="K20" s="91">
        <f t="shared" si="7"/>
        <v>-1.5254773000000001E-2</v>
      </c>
      <c r="L20" s="91">
        <f t="shared" si="7"/>
        <v>-1.4856822400000001E-2</v>
      </c>
      <c r="M20" s="91">
        <f t="shared" si="7"/>
        <v>-1.4591521999999999E-2</v>
      </c>
      <c r="N20" s="91">
        <f t="shared" si="7"/>
        <v>-1.3928271000000001E-2</v>
      </c>
      <c r="O20" s="91">
        <f t="shared" si="7"/>
        <v>-1.3928270999999997E-2</v>
      </c>
      <c r="P20" s="91">
        <f t="shared" si="7"/>
        <v>-1.3689500639999999E-2</v>
      </c>
      <c r="Q20" s="91">
        <f t="shared" si="7"/>
        <v>-1.3530320399999999E-2</v>
      </c>
      <c r="R20" s="91">
        <f t="shared" si="7"/>
        <v>-1.3397670200000001E-2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74"/>
      <c r="I21" s="76"/>
      <c r="J21" s="83"/>
      <c r="K21" s="83"/>
      <c r="L21" s="83"/>
      <c r="M21" s="83"/>
      <c r="N21" s="83"/>
      <c r="O21" s="83"/>
      <c r="P21" s="83"/>
      <c r="Q21" s="83"/>
      <c r="R21" s="83"/>
    </row>
    <row r="22" spans="1:18" x14ac:dyDescent="0.25">
      <c r="A22" s="1"/>
      <c r="B22" s="1" t="s">
        <v>13</v>
      </c>
      <c r="C22" s="12">
        <f>('Raw IS'!D15+'Raw IS'!D14)/1000</f>
        <v>-40783.235000000001</v>
      </c>
      <c r="D22" s="12">
        <f>('Raw IS'!E15+'Raw IS'!E14)/1000</f>
        <v>-51246.398000000001</v>
      </c>
      <c r="E22" s="12">
        <f>('Raw IS'!F15+'Raw IS'!F14)/1000</f>
        <v>-59202.086000000003</v>
      </c>
      <c r="F22" s="12">
        <f>'Raw IS'!N16+'Raw IS'!N17</f>
        <v>-75856</v>
      </c>
      <c r="G22" s="12">
        <f>'Raw IS'!O16+'Raw IS'!O17</f>
        <v>-97798</v>
      </c>
      <c r="H22" s="12">
        <f>'Raw IS'!P16+'Raw IS'!P17</f>
        <v>-100783</v>
      </c>
      <c r="I22" s="76">
        <v>-104444.89520147999</v>
      </c>
      <c r="J22" s="83">
        <v>-115154.24575464</v>
      </c>
      <c r="K22" s="83">
        <v>-120557.39341759501</v>
      </c>
      <c r="L22" s="83">
        <v>-124848.02661004799</v>
      </c>
      <c r="M22" s="83">
        <v>-130742.33210411998</v>
      </c>
      <c r="N22" s="83">
        <v>-131861.78702896499</v>
      </c>
      <c r="O22" s="83">
        <v>-135349.30598237997</v>
      </c>
      <c r="P22" s="83">
        <v>-138390.73494891121</v>
      </c>
      <c r="Q22" s="83">
        <v>-143847.08115483599</v>
      </c>
      <c r="R22" s="83">
        <v>-150753.52964571302</v>
      </c>
    </row>
    <row r="23" spans="1:18" x14ac:dyDescent="0.25">
      <c r="A23" s="1"/>
      <c r="B23" s="88" t="s">
        <v>21</v>
      </c>
      <c r="C23" s="89">
        <f>C22/C11</f>
        <v>-0.11255771692590873</v>
      </c>
      <c r="D23" s="89">
        <f t="shared" ref="D23:R23" si="8">D22/D11</f>
        <v>-0.11091819560037475</v>
      </c>
      <c r="E23" s="89">
        <f t="shared" si="8"/>
        <v>-0.10262310245735465</v>
      </c>
      <c r="F23" s="89">
        <f t="shared" si="8"/>
        <v>-0.10171064169846689</v>
      </c>
      <c r="G23" s="89">
        <f t="shared" si="8"/>
        <v>-0.10277303718400323</v>
      </c>
      <c r="H23" s="89">
        <f t="shared" si="8"/>
        <v>-9.6329126506830204E-2</v>
      </c>
      <c r="I23" s="90">
        <f t="shared" si="8"/>
        <v>-9.4966307999999985E-2</v>
      </c>
      <c r="J23" s="91">
        <f t="shared" si="8"/>
        <v>-9.4966307999999999E-2</v>
      </c>
      <c r="K23" s="91">
        <f t="shared" si="8"/>
        <v>-9.1009378500000015E-2</v>
      </c>
      <c r="L23" s="91">
        <f t="shared" si="8"/>
        <v>-8.8635220799999997E-2</v>
      </c>
      <c r="M23" s="91">
        <f t="shared" si="8"/>
        <v>-8.705244899999999E-2</v>
      </c>
      <c r="N23" s="91">
        <f t="shared" si="8"/>
        <v>-8.3095519499999992E-2</v>
      </c>
      <c r="O23" s="91">
        <f t="shared" si="8"/>
        <v>-8.3095519499999979E-2</v>
      </c>
      <c r="P23" s="91">
        <f t="shared" si="8"/>
        <v>-8.1671024879999998E-2</v>
      </c>
      <c r="Q23" s="91">
        <f t="shared" si="8"/>
        <v>-8.0721361799999988E-2</v>
      </c>
      <c r="R23" s="91">
        <f t="shared" si="8"/>
        <v>-7.9929975900000005E-2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74"/>
      <c r="I24" s="76"/>
      <c r="J24" s="83"/>
      <c r="K24" s="83"/>
      <c r="L24" s="83"/>
      <c r="M24" s="83"/>
      <c r="N24" s="83"/>
      <c r="O24" s="83"/>
      <c r="P24" s="83"/>
      <c r="Q24" s="83"/>
      <c r="R24" s="83"/>
    </row>
    <row r="25" spans="1:18" x14ac:dyDescent="0.25">
      <c r="A25" s="1"/>
      <c r="B25" s="1" t="s">
        <v>14</v>
      </c>
      <c r="C25" s="12">
        <f>'Raw IS'!D17/1000</f>
        <v>-4214.79</v>
      </c>
      <c r="D25" s="12">
        <f>'Raw IS'!E17/1000</f>
        <v>-5159.6660000000002</v>
      </c>
      <c r="E25" s="12">
        <f>'Raw IS'!F17/1000</f>
        <v>-5490.1589999999997</v>
      </c>
      <c r="F25" s="12">
        <f>'Raw IS'!N19</f>
        <v>-6409</v>
      </c>
      <c r="G25" s="12">
        <f>'Raw IS'!O19</f>
        <v>-11562</v>
      </c>
      <c r="H25" s="12">
        <f>'Raw IS'!P19</f>
        <v>-11053</v>
      </c>
      <c r="I25" s="76">
        <v>-11454.604735559999</v>
      </c>
      <c r="J25" s="83">
        <v>-12629.112856080001</v>
      </c>
      <c r="K25" s="83">
        <v>-13221.682944715001</v>
      </c>
      <c r="L25" s="83">
        <v>-13692.242153856001</v>
      </c>
      <c r="M25" s="83">
        <v>-14338.678147639999</v>
      </c>
      <c r="N25" s="83">
        <v>-14461.450195605001</v>
      </c>
      <c r="O25" s="83">
        <v>-14843.93084286</v>
      </c>
      <c r="P25" s="83">
        <v>-15177.488232866403</v>
      </c>
      <c r="Q25" s="83">
        <v>-15775.892673492001</v>
      </c>
      <c r="R25" s="83">
        <v>-16533.331679361003</v>
      </c>
    </row>
    <row r="26" spans="1:18" x14ac:dyDescent="0.25">
      <c r="A26" s="1"/>
      <c r="B26" s="88" t="s">
        <v>21</v>
      </c>
      <c r="C26" s="89">
        <f>C25/C11</f>
        <v>-1.1632405808959266E-2</v>
      </c>
      <c r="D26" s="89">
        <f t="shared" ref="D26:R26" si="9">D25/D11</f>
        <v>-1.1167630603434862E-2</v>
      </c>
      <c r="E26" s="89">
        <f t="shared" si="9"/>
        <v>-9.516846240251866E-3</v>
      </c>
      <c r="F26" s="89">
        <f t="shared" si="9"/>
        <v>-8.5934336459274705E-3</v>
      </c>
      <c r="G26" s="89">
        <f t="shared" si="9"/>
        <v>-1.2150165196849069E-2</v>
      </c>
      <c r="H26" s="89">
        <f t="shared" si="9"/>
        <v>-1.0564538020102539E-2</v>
      </c>
      <c r="I26" s="90">
        <f t="shared" si="9"/>
        <v>-1.0415075999999999E-2</v>
      </c>
      <c r="J26" s="91">
        <f t="shared" si="9"/>
        <v>-1.0415076000000001E-2</v>
      </c>
      <c r="K26" s="91">
        <f t="shared" si="9"/>
        <v>-9.9811145000000007E-3</v>
      </c>
      <c r="L26" s="91">
        <f t="shared" si="9"/>
        <v>-9.7207376000000012E-3</v>
      </c>
      <c r="M26" s="91">
        <f t="shared" si="9"/>
        <v>-9.5471529999999992E-3</v>
      </c>
      <c r="N26" s="91">
        <f t="shared" si="9"/>
        <v>-9.1131915000000011E-3</v>
      </c>
      <c r="O26" s="91">
        <f t="shared" si="9"/>
        <v>-9.1131914999999994E-3</v>
      </c>
      <c r="P26" s="91">
        <f t="shared" si="9"/>
        <v>-8.9569653600000011E-3</v>
      </c>
      <c r="Q26" s="91">
        <f t="shared" si="9"/>
        <v>-8.8528145999999999E-3</v>
      </c>
      <c r="R26" s="91">
        <f t="shared" si="9"/>
        <v>-8.7660223000000006E-3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74"/>
      <c r="I27" s="76"/>
      <c r="J27" s="83"/>
      <c r="K27" s="83"/>
      <c r="L27" s="83"/>
      <c r="M27" s="83"/>
      <c r="N27" s="83"/>
      <c r="O27" s="83"/>
      <c r="P27" s="83"/>
      <c r="Q27" s="83"/>
      <c r="R27" s="83"/>
    </row>
    <row r="28" spans="1:18" x14ac:dyDescent="0.25">
      <c r="A28" s="1"/>
      <c r="B28" s="1" t="s">
        <v>15</v>
      </c>
      <c r="C28" s="12">
        <f>SUM('Raw IS'!D18:D19)/1000</f>
        <v>0</v>
      </c>
      <c r="D28" s="12">
        <f>SUM('Raw IS'!E18:E19)/1000</f>
        <v>-22.317</v>
      </c>
      <c r="E28" s="12">
        <f>SUM('Raw IS'!F18:F19)/1000</f>
        <v>3884.7089999999998</v>
      </c>
      <c r="F28" s="12">
        <f>SUM('Raw IS'!N20)</f>
        <v>1649</v>
      </c>
      <c r="G28" s="12">
        <f>SUM('Raw IS'!O20)</f>
        <v>767</v>
      </c>
      <c r="H28" s="12">
        <f>SUM('Raw IS'!P20)</f>
        <v>1379</v>
      </c>
      <c r="I28" s="79">
        <v>1429.1019124799932</v>
      </c>
      <c r="J28" s="85">
        <v>1575.6361526399851</v>
      </c>
      <c r="K28" s="85">
        <v>1649.5665122199862</v>
      </c>
      <c r="L28" s="85">
        <v>1708.2745236479968</v>
      </c>
      <c r="M28" s="85">
        <v>1788.9253131199803</v>
      </c>
      <c r="N28" s="85">
        <v>1804.242626339983</v>
      </c>
      <c r="O28" s="85">
        <v>1851.9617608799599</v>
      </c>
      <c r="P28" s="85">
        <v>1893.5771212512045</v>
      </c>
      <c r="Q28" s="85">
        <v>1968.2353875359695</v>
      </c>
      <c r="R28" s="85">
        <v>2062.7351591879851</v>
      </c>
    </row>
    <row r="29" spans="1:18" x14ac:dyDescent="0.25">
      <c r="A29" s="1"/>
      <c r="B29" s="88" t="s">
        <v>21</v>
      </c>
      <c r="C29" s="89">
        <f>C28/C11</f>
        <v>0</v>
      </c>
      <c r="D29" s="89">
        <f t="shared" ref="D29:R29" si="10">D28/D11</f>
        <v>-4.8303128957737929E-5</v>
      </c>
      <c r="E29" s="89">
        <f t="shared" si="10"/>
        <v>6.7338993717891574E-3</v>
      </c>
      <c r="F29" s="89">
        <f t="shared" si="10"/>
        <v>2.2110426091643625E-3</v>
      </c>
      <c r="G29" s="89">
        <f t="shared" si="10"/>
        <v>8.060177050668774E-4</v>
      </c>
      <c r="H29" s="89">
        <f t="shared" si="10"/>
        <v>1.3180582583661813E-3</v>
      </c>
      <c r="I29" s="90">
        <f t="shared" si="10"/>
        <v>1.2994079999999939E-3</v>
      </c>
      <c r="J29" s="91">
        <f t="shared" si="10"/>
        <v>1.2994079999999878E-3</v>
      </c>
      <c r="K29" s="91">
        <f t="shared" si="10"/>
        <v>1.2452659999999897E-3</v>
      </c>
      <c r="L29" s="91">
        <f t="shared" si="10"/>
        <v>1.2127807999999978E-3</v>
      </c>
      <c r="M29" s="91">
        <f t="shared" si="10"/>
        <v>1.1911239999999868E-3</v>
      </c>
      <c r="N29" s="91">
        <f t="shared" si="10"/>
        <v>1.1369819999999893E-3</v>
      </c>
      <c r="O29" s="91">
        <f t="shared" si="10"/>
        <v>1.1369819999999754E-3</v>
      </c>
      <c r="P29" s="91">
        <f t="shared" si="10"/>
        <v>1.1174908800000026E-3</v>
      </c>
      <c r="Q29" s="91">
        <f t="shared" si="10"/>
        <v>1.1044967999999827E-3</v>
      </c>
      <c r="R29" s="91">
        <f t="shared" si="10"/>
        <v>1.093668399999992E-3</v>
      </c>
    </row>
    <row r="30" spans="1:18" x14ac:dyDescent="0.25">
      <c r="A30" s="1"/>
      <c r="B30" s="14"/>
      <c r="C30" s="12"/>
      <c r="D30" s="12"/>
      <c r="E30" s="12"/>
      <c r="F30" s="12"/>
      <c r="G30" s="12"/>
      <c r="H30" s="12"/>
      <c r="I30" s="79"/>
      <c r="J30" s="85"/>
      <c r="K30" s="85"/>
      <c r="L30" s="85"/>
      <c r="M30" s="85"/>
      <c r="N30" s="85"/>
      <c r="O30" s="85"/>
      <c r="P30" s="85"/>
      <c r="Q30" s="85"/>
      <c r="R30" s="85"/>
    </row>
    <row r="31" spans="1:18" x14ac:dyDescent="0.25">
      <c r="A31" s="1"/>
      <c r="B31" s="1" t="s">
        <v>16</v>
      </c>
      <c r="C31" s="12">
        <f>C19+C22+C25+C28</f>
        <v>-51650.398999999998</v>
      </c>
      <c r="D31" s="12">
        <f t="shared" ref="D31:R31" si="11">D19+D22+D25+D28</f>
        <v>-68572.763999999996</v>
      </c>
      <c r="E31" s="12">
        <f t="shared" si="11"/>
        <v>-75426.213000000003</v>
      </c>
      <c r="F31" s="12">
        <f t="shared" si="11"/>
        <v>-96765</v>
      </c>
      <c r="G31" s="12">
        <f t="shared" si="11"/>
        <v>-124925</v>
      </c>
      <c r="H31" s="12">
        <f t="shared" si="11"/>
        <v>-127350</v>
      </c>
      <c r="I31" s="79">
        <f t="shared" si="11"/>
        <v>-131977.19999999998</v>
      </c>
      <c r="J31" s="85">
        <f t="shared" si="11"/>
        <v>-145509.6</v>
      </c>
      <c r="K31" s="85">
        <f t="shared" si="11"/>
        <v>-152337.05000000002</v>
      </c>
      <c r="L31" s="85">
        <f t="shared" si="11"/>
        <v>-157758.72</v>
      </c>
      <c r="M31" s="85">
        <f t="shared" si="11"/>
        <v>-165206.79999999999</v>
      </c>
      <c r="N31" s="85">
        <f t="shared" si="11"/>
        <v>-166621.35</v>
      </c>
      <c r="O31" s="85">
        <f t="shared" si="11"/>
        <v>-171028.19999999998</v>
      </c>
      <c r="P31" s="85">
        <f t="shared" si="11"/>
        <v>-174871.36800000002</v>
      </c>
      <c r="Q31" s="85">
        <f t="shared" si="11"/>
        <v>-181766.04</v>
      </c>
      <c r="R31" s="85">
        <f t="shared" si="11"/>
        <v>-190493.07000000004</v>
      </c>
    </row>
    <row r="32" spans="1:18" x14ac:dyDescent="0.25">
      <c r="A32" s="1"/>
      <c r="B32" s="88" t="s">
        <v>21</v>
      </c>
      <c r="C32" s="89">
        <f t="shared" ref="C32:H32" si="12">C31/C11</f>
        <v>-0.14255002060901345</v>
      </c>
      <c r="D32" s="89">
        <f t="shared" si="12"/>
        <v>-0.14841954843753769</v>
      </c>
      <c r="E32" s="89">
        <f t="shared" si="12"/>
        <v>-0.13074660890613304</v>
      </c>
      <c r="F32" s="89">
        <f t="shared" si="12"/>
        <v>-0.12974623291436602</v>
      </c>
      <c r="G32" s="89">
        <f t="shared" si="12"/>
        <v>-0.13128000235395001</v>
      </c>
      <c r="H32" s="89">
        <f t="shared" si="12"/>
        <v>-0.12172205888537577</v>
      </c>
      <c r="I32" s="90">
        <f t="shared" ref="I32" si="13">I31/I11</f>
        <v>-0.11999999999999998</v>
      </c>
      <c r="J32" s="91">
        <f t="shared" ref="J32" si="14">J31/J11</f>
        <v>-0.12000000000000001</v>
      </c>
      <c r="K32" s="91">
        <f t="shared" ref="K32" si="15">K31/K11</f>
        <v>-0.11500000000000002</v>
      </c>
      <c r="L32" s="91">
        <f t="shared" ref="L32" si="16">L31/L11</f>
        <v>-0.112</v>
      </c>
      <c r="M32" s="91">
        <f t="shared" ref="M32" si="17">M31/M11</f>
        <v>-0.10999999999999999</v>
      </c>
      <c r="N32" s="91">
        <f t="shared" ref="N32" si="18">N31/N11</f>
        <v>-0.10500000000000001</v>
      </c>
      <c r="O32" s="91">
        <f t="shared" ref="O32" si="19">O31/O11</f>
        <v>-0.105</v>
      </c>
      <c r="P32" s="91">
        <f t="shared" ref="P32" si="20">P31/P11</f>
        <v>-0.1032</v>
      </c>
      <c r="Q32" s="91">
        <f t="shared" ref="Q32" si="21">Q31/Q11</f>
        <v>-0.10199999999999999</v>
      </c>
      <c r="R32" s="91">
        <f t="shared" ref="R32" si="22">R31/R11</f>
        <v>-0.10100000000000001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71"/>
      <c r="J33" s="80"/>
      <c r="K33" s="80"/>
      <c r="L33" s="80"/>
      <c r="M33" s="80"/>
      <c r="N33" s="80"/>
      <c r="O33" s="80"/>
      <c r="P33" s="80"/>
      <c r="Q33" s="80"/>
      <c r="R33" s="80"/>
    </row>
    <row r="34" spans="1:86" x14ac:dyDescent="0.25">
      <c r="A34" s="1"/>
      <c r="B34" s="1" t="s">
        <v>17</v>
      </c>
      <c r="C34" s="12">
        <f>C16+C31</f>
        <v>-835.47599999998783</v>
      </c>
      <c r="D34" s="12">
        <f t="shared" ref="D34:H34" si="23">D16+D31</f>
        <v>-2619.1309999999648</v>
      </c>
      <c r="E34" s="12">
        <f t="shared" si="23"/>
        <v>8994.8800000000483</v>
      </c>
      <c r="F34" s="12">
        <f t="shared" si="23"/>
        <v>12343</v>
      </c>
      <c r="G34" s="12">
        <f t="shared" si="23"/>
        <v>4141</v>
      </c>
      <c r="H34" s="12">
        <f t="shared" si="23"/>
        <v>19723</v>
      </c>
      <c r="I34" s="79">
        <f>I16+I31</f>
        <v>29144.964999999997</v>
      </c>
      <c r="J34" s="85">
        <f t="shared" ref="J34:R34" si="24">J16+J31</f>
        <v>33224.69200000001</v>
      </c>
      <c r="K34" s="85">
        <f t="shared" si="24"/>
        <v>47025.784999999974</v>
      </c>
      <c r="L34" s="85">
        <f t="shared" si="24"/>
        <v>52116.72</v>
      </c>
      <c r="M34" s="85">
        <f t="shared" si="24"/>
        <v>61577.080000000016</v>
      </c>
      <c r="N34" s="85">
        <f t="shared" si="24"/>
        <v>76169.75999999998</v>
      </c>
      <c r="O34" s="85">
        <f t="shared" si="24"/>
        <v>81442.000000000029</v>
      </c>
      <c r="P34" s="85">
        <f t="shared" si="24"/>
        <v>91163.562000000034</v>
      </c>
      <c r="Q34" s="85">
        <f t="shared" si="24"/>
        <v>101575.14000000004</v>
      </c>
      <c r="R34" s="85">
        <f t="shared" si="24"/>
        <v>113164.19999999998</v>
      </c>
    </row>
    <row r="35" spans="1:86" x14ac:dyDescent="0.25">
      <c r="A35" s="1"/>
      <c r="B35" s="1" t="s">
        <v>18</v>
      </c>
      <c r="C35" s="70">
        <f>SUM('Raw IS'!D24:D27)/1000</f>
        <v>956.43600000000004</v>
      </c>
      <c r="D35" s="70">
        <f>SUM('Raw IS'!E24:E27)/1000</f>
        <v>245.453</v>
      </c>
      <c r="E35" s="70">
        <f>SUM('Raw IS'!F24:F27)/1000</f>
        <v>4697.652</v>
      </c>
      <c r="F35" s="69">
        <f>SUM('Raw IS'!N25:N28)</f>
        <v>38476</v>
      </c>
      <c r="G35" s="69">
        <f>SUM('Raw IS'!O25:O28)</f>
        <v>-6721</v>
      </c>
      <c r="H35" s="69">
        <f>SUM('Raw IS'!P25:P28)</f>
        <v>-5856</v>
      </c>
      <c r="I35" s="76">
        <f>I36*I11</f>
        <v>17596.96</v>
      </c>
      <c r="J35" s="83">
        <f t="shared" ref="J35:R35" si="25">J36*J11</f>
        <v>22432.73</v>
      </c>
      <c r="K35" s="83">
        <f t="shared" si="25"/>
        <v>19870.05</v>
      </c>
      <c r="L35" s="83">
        <f t="shared" si="25"/>
        <v>21128.399999999998</v>
      </c>
      <c r="M35" s="83">
        <f t="shared" si="25"/>
        <v>21026.32</v>
      </c>
      <c r="N35" s="83">
        <f t="shared" si="25"/>
        <v>23009.615000000002</v>
      </c>
      <c r="O35" s="83">
        <f t="shared" si="25"/>
        <v>26061.440000000002</v>
      </c>
      <c r="P35" s="83">
        <f t="shared" si="25"/>
        <v>27111.840000000004</v>
      </c>
      <c r="Q35" s="83">
        <f t="shared" si="25"/>
        <v>28512.320000000003</v>
      </c>
      <c r="R35" s="83">
        <f t="shared" si="25"/>
        <v>30177.120000000003</v>
      </c>
    </row>
    <row r="36" spans="1:86" x14ac:dyDescent="0.25">
      <c r="A36" s="1"/>
      <c r="B36" s="88" t="s">
        <v>21</v>
      </c>
      <c r="C36" s="89">
        <f>C35/C11</f>
        <v>2.6396692794416247E-3</v>
      </c>
      <c r="D36" s="89">
        <f t="shared" ref="D36:H36" si="26">D35/D11</f>
        <v>5.3126082860884742E-4</v>
      </c>
      <c r="E36" s="89">
        <f t="shared" si="26"/>
        <v>8.1430850680666387E-3</v>
      </c>
      <c r="F36" s="89">
        <f t="shared" si="26"/>
        <v>5.1590100321533064E-2</v>
      </c>
      <c r="G36" s="89">
        <f t="shared" si="26"/>
        <v>-7.0629009071114515E-3</v>
      </c>
      <c r="H36" s="89">
        <f t="shared" si="26"/>
        <v>-5.5972075134099767E-3</v>
      </c>
      <c r="I36" s="90">
        <v>1.6E-2</v>
      </c>
      <c r="J36" s="91">
        <v>1.8499999999999999E-2</v>
      </c>
      <c r="K36" s="91">
        <v>1.4999999999999999E-2</v>
      </c>
      <c r="L36" s="91">
        <v>1.4999999999999999E-2</v>
      </c>
      <c r="M36" s="91">
        <v>1.4E-2</v>
      </c>
      <c r="N36" s="91">
        <v>1.4500000000000001E-2</v>
      </c>
      <c r="O36" s="91">
        <v>1.6E-2</v>
      </c>
      <c r="P36" s="91">
        <v>1.6E-2</v>
      </c>
      <c r="Q36" s="91">
        <v>1.6E-2</v>
      </c>
      <c r="R36" s="91">
        <v>1.6E-2</v>
      </c>
    </row>
    <row r="37" spans="1:86" x14ac:dyDescent="0.25">
      <c r="A37" s="1"/>
      <c r="B37" s="1"/>
      <c r="C37" s="70"/>
      <c r="D37" s="70"/>
      <c r="E37" s="70"/>
      <c r="F37" s="69"/>
      <c r="G37" s="69"/>
      <c r="H37" s="69"/>
      <c r="I37" s="77"/>
      <c r="J37" s="84"/>
      <c r="K37" s="84"/>
      <c r="L37" s="84"/>
      <c r="M37" s="84"/>
      <c r="N37" s="84"/>
      <c r="O37" s="84"/>
      <c r="P37" s="84"/>
      <c r="Q37" s="84"/>
      <c r="R37" s="84"/>
    </row>
    <row r="38" spans="1:86" x14ac:dyDescent="0.25">
      <c r="A38" s="1"/>
      <c r="B38" s="1" t="s">
        <v>19</v>
      </c>
      <c r="C38" s="12">
        <f>C34+C35</f>
        <v>120.9600000000122</v>
      </c>
      <c r="D38" s="12">
        <f t="shared" ref="D38:R38" si="27">D34+D35</f>
        <v>-2373.6779999999649</v>
      </c>
      <c r="E38" s="12">
        <f t="shared" si="27"/>
        <v>13692.532000000048</v>
      </c>
      <c r="F38" s="12">
        <f t="shared" si="27"/>
        <v>50819</v>
      </c>
      <c r="G38" s="12">
        <f t="shared" si="27"/>
        <v>-2580</v>
      </c>
      <c r="H38" s="12">
        <f t="shared" si="27"/>
        <v>13867</v>
      </c>
      <c r="I38" s="79">
        <f>I34+I35</f>
        <v>46741.924999999996</v>
      </c>
      <c r="J38" s="85">
        <f t="shared" si="27"/>
        <v>55657.422000000006</v>
      </c>
      <c r="K38" s="85">
        <f t="shared" si="27"/>
        <v>66895.834999999977</v>
      </c>
      <c r="L38" s="85">
        <f t="shared" si="27"/>
        <v>73245.119999999995</v>
      </c>
      <c r="M38" s="85">
        <f t="shared" si="27"/>
        <v>82603.400000000023</v>
      </c>
      <c r="N38" s="85">
        <f t="shared" si="27"/>
        <v>99179.374999999985</v>
      </c>
      <c r="O38" s="85">
        <f t="shared" si="27"/>
        <v>107503.44000000003</v>
      </c>
      <c r="P38" s="85">
        <f t="shared" si="27"/>
        <v>118275.40200000003</v>
      </c>
      <c r="Q38" s="85">
        <f t="shared" si="27"/>
        <v>130087.46000000005</v>
      </c>
      <c r="R38" s="85">
        <f t="shared" si="27"/>
        <v>143341.31999999998</v>
      </c>
    </row>
    <row r="39" spans="1:86" x14ac:dyDescent="0.25">
      <c r="A39" s="1"/>
      <c r="B39" s="1"/>
      <c r="C39" s="20"/>
      <c r="D39" s="20"/>
      <c r="E39" s="20"/>
      <c r="F39" s="20"/>
      <c r="G39" s="20"/>
      <c r="H39" s="20"/>
      <c r="I39" s="77"/>
      <c r="J39" s="84"/>
      <c r="K39" s="84"/>
      <c r="L39" s="84"/>
      <c r="M39" s="84"/>
      <c r="N39" s="84"/>
      <c r="O39" s="84"/>
      <c r="P39" s="84"/>
      <c r="Q39" s="84"/>
      <c r="R39" s="84"/>
    </row>
    <row r="40" spans="1:86" x14ac:dyDescent="0.25">
      <c r="A40" s="1"/>
      <c r="B40" s="1" t="s">
        <v>20</v>
      </c>
      <c r="C40" s="12">
        <f>C34</f>
        <v>-835.47599999998783</v>
      </c>
      <c r="D40" s="12">
        <f t="shared" ref="D40:G40" si="28">D34</f>
        <v>-2619.1309999999648</v>
      </c>
      <c r="E40" s="12">
        <f t="shared" si="28"/>
        <v>8994.8800000000483</v>
      </c>
      <c r="F40" s="12">
        <f t="shared" si="28"/>
        <v>12343</v>
      </c>
      <c r="G40" s="12">
        <f t="shared" si="28"/>
        <v>4141</v>
      </c>
      <c r="H40" s="12">
        <f>H34</f>
        <v>19723</v>
      </c>
      <c r="I40" s="79">
        <f t="shared" ref="I40:R40" si="29">I34</f>
        <v>29144.964999999997</v>
      </c>
      <c r="J40" s="85">
        <f t="shared" si="29"/>
        <v>33224.69200000001</v>
      </c>
      <c r="K40" s="85">
        <f t="shared" si="29"/>
        <v>47025.784999999974</v>
      </c>
      <c r="L40" s="85">
        <f t="shared" si="29"/>
        <v>52116.72</v>
      </c>
      <c r="M40" s="85">
        <f t="shared" si="29"/>
        <v>61577.080000000016</v>
      </c>
      <c r="N40" s="85">
        <f t="shared" si="29"/>
        <v>76169.75999999998</v>
      </c>
      <c r="O40" s="85">
        <f t="shared" si="29"/>
        <v>81442.000000000029</v>
      </c>
      <c r="P40" s="85">
        <f t="shared" si="29"/>
        <v>91163.562000000034</v>
      </c>
      <c r="Q40" s="85">
        <f t="shared" si="29"/>
        <v>101575.14000000004</v>
      </c>
      <c r="R40" s="85">
        <f t="shared" si="29"/>
        <v>113164.19999999998</v>
      </c>
    </row>
    <row r="41" spans="1:86" x14ac:dyDescent="0.25">
      <c r="A41" s="1"/>
      <c r="B41" s="88" t="s">
        <v>21</v>
      </c>
      <c r="C41" s="89">
        <f t="shared" ref="C41:H41" si="30">C40/C11</f>
        <v>-2.3058315777644699E-3</v>
      </c>
      <c r="D41" s="89">
        <f t="shared" si="30"/>
        <v>-5.6688722700276653E-3</v>
      </c>
      <c r="E41" s="89">
        <f t="shared" si="30"/>
        <v>1.5592060249897531E-2</v>
      </c>
      <c r="F41" s="89">
        <f t="shared" si="30"/>
        <v>1.6549969026631733E-2</v>
      </c>
      <c r="G41" s="89">
        <f t="shared" si="30"/>
        <v>4.351654910928213E-3</v>
      </c>
      <c r="H41" s="89">
        <f t="shared" si="30"/>
        <v>1.8851387258706449E-2</v>
      </c>
      <c r="I41" s="90">
        <f t="shared" ref="I41:R41" si="31">I40/I11</f>
        <v>2.6499999999999996E-2</v>
      </c>
      <c r="J41" s="91">
        <f t="shared" si="31"/>
        <v>2.7400000000000008E-2</v>
      </c>
      <c r="K41" s="91">
        <f t="shared" si="31"/>
        <v>3.5499999999999983E-2</v>
      </c>
      <c r="L41" s="91">
        <f t="shared" si="31"/>
        <v>3.6999999999999998E-2</v>
      </c>
      <c r="M41" s="91">
        <f t="shared" si="31"/>
        <v>4.1000000000000009E-2</v>
      </c>
      <c r="N41" s="91">
        <f t="shared" si="31"/>
        <v>4.7999999999999987E-2</v>
      </c>
      <c r="O41" s="91">
        <f t="shared" si="31"/>
        <v>5.0000000000000017E-2</v>
      </c>
      <c r="P41" s="91">
        <f t="shared" si="31"/>
        <v>5.3800000000000014E-2</v>
      </c>
      <c r="Q41" s="91">
        <f t="shared" si="31"/>
        <v>5.7000000000000016E-2</v>
      </c>
      <c r="R41" s="91">
        <f t="shared" si="31"/>
        <v>5.9999999999999984E-2</v>
      </c>
    </row>
    <row r="42" spans="1:86" x14ac:dyDescent="0.25">
      <c r="A42" s="1"/>
      <c r="B42" s="14"/>
      <c r="C42" s="1"/>
      <c r="D42" s="1"/>
      <c r="F42" s="1"/>
      <c r="G42" s="1"/>
      <c r="H42" s="1"/>
      <c r="I42" s="77"/>
      <c r="J42" s="84"/>
      <c r="K42" s="84"/>
      <c r="L42" s="84"/>
      <c r="M42" s="84"/>
      <c r="N42" s="84"/>
      <c r="O42" s="84"/>
      <c r="P42" s="84"/>
      <c r="Q42" s="84"/>
      <c r="R42" s="84"/>
    </row>
    <row r="43" spans="1:86" x14ac:dyDescent="0.25">
      <c r="A43" s="1"/>
      <c r="B43" s="1" t="s">
        <v>22</v>
      </c>
      <c r="C43" s="12">
        <f>'Raw IS'!D30/1000</f>
        <v>-139.59299999999999</v>
      </c>
      <c r="D43" s="12">
        <f>'Raw IS'!E30/1000</f>
        <v>-426.87200000000001</v>
      </c>
      <c r="E43" s="12">
        <f>'Raw IS'!F30/1000</f>
        <v>-1802.44</v>
      </c>
      <c r="F43" s="12">
        <f>'Raw IS'!N30</f>
        <v>-1482</v>
      </c>
      <c r="G43" s="12">
        <f>'Raw IS'!O30</f>
        <v>-1887</v>
      </c>
      <c r="H43" s="12">
        <f>'Raw IS'!P30</f>
        <v>-4176</v>
      </c>
      <c r="I43" s="76">
        <f>I44*I40</f>
        <v>-5240.2647069999994</v>
      </c>
      <c r="J43" s="83">
        <f t="shared" ref="J43:R43" si="32">J44*J40</f>
        <v>-5937.2524604000018</v>
      </c>
      <c r="K43" s="83">
        <f t="shared" si="32"/>
        <v>-8474.0464569999949</v>
      </c>
      <c r="L43" s="83">
        <f t="shared" si="32"/>
        <v>-7817.5079999999998</v>
      </c>
      <c r="M43" s="83">
        <f t="shared" si="32"/>
        <v>-9236.5620000000017</v>
      </c>
      <c r="N43" s="83">
        <f t="shared" si="32"/>
        <v>-11425.463999999996</v>
      </c>
      <c r="O43" s="83">
        <f t="shared" si="32"/>
        <v>-12216.300000000005</v>
      </c>
      <c r="P43" s="83">
        <f t="shared" si="32"/>
        <v>-13674.534300000005</v>
      </c>
      <c r="Q43" s="83">
        <f t="shared" si="32"/>
        <v>-15236.271000000006</v>
      </c>
      <c r="R43" s="83">
        <f t="shared" si="32"/>
        <v>-16974.629999999997</v>
      </c>
    </row>
    <row r="44" spans="1:86" x14ac:dyDescent="0.25">
      <c r="A44" s="1"/>
      <c r="B44" s="88" t="s">
        <v>23</v>
      </c>
      <c r="C44" s="94">
        <f>C43/C40</f>
        <v>0.16708199876477842</v>
      </c>
      <c r="D44" s="94">
        <f t="shared" ref="D44:F44" si="33">D43/D40</f>
        <v>0.16298230214525572</v>
      </c>
      <c r="E44" s="94">
        <f t="shared" si="33"/>
        <v>-0.20038510797253442</v>
      </c>
      <c r="F44" s="94">
        <f t="shared" si="33"/>
        <v>-0.12006805476788462</v>
      </c>
      <c r="G44" s="94">
        <f>F43/G40</f>
        <v>-0.35788456894469933</v>
      </c>
      <c r="H44" s="94">
        <f>G43/H40</f>
        <v>-9.5675100136896007E-2</v>
      </c>
      <c r="I44" s="95">
        <v>-0.17979999999999999</v>
      </c>
      <c r="J44" s="96">
        <v>-0.1787</v>
      </c>
      <c r="K44" s="96">
        <v>-0.1802</v>
      </c>
      <c r="L44" s="96">
        <v>-0.15</v>
      </c>
      <c r="M44" s="96">
        <v>-0.15</v>
      </c>
      <c r="N44" s="96">
        <v>-0.15</v>
      </c>
      <c r="O44" s="96">
        <v>-0.15</v>
      </c>
      <c r="P44" s="96">
        <v>-0.15</v>
      </c>
      <c r="Q44" s="96">
        <v>-0.15</v>
      </c>
      <c r="R44" s="96">
        <v>-0.15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77"/>
      <c r="J45" s="84"/>
      <c r="K45" s="84"/>
      <c r="L45" s="84"/>
      <c r="M45" s="84"/>
      <c r="N45" s="84"/>
      <c r="O45" s="84"/>
      <c r="P45" s="84"/>
      <c r="Q45" s="84"/>
      <c r="R45" s="84"/>
    </row>
    <row r="46" spans="1:86" x14ac:dyDescent="0.25">
      <c r="A46" s="1"/>
      <c r="B46" s="10" t="s">
        <v>24</v>
      </c>
      <c r="C46" s="10">
        <v>2017</v>
      </c>
      <c r="D46" s="10">
        <f>C46+1</f>
        <v>2018</v>
      </c>
      <c r="E46" s="10">
        <f>D46+1</f>
        <v>2019</v>
      </c>
      <c r="F46" s="10">
        <v>2020</v>
      </c>
      <c r="G46" s="10">
        <v>2021</v>
      </c>
      <c r="H46" s="10">
        <v>2022</v>
      </c>
      <c r="I46" s="81">
        <v>2023</v>
      </c>
      <c r="J46" s="86">
        <v>2024</v>
      </c>
      <c r="K46" s="86">
        <v>2025</v>
      </c>
      <c r="L46" s="86">
        <v>2026</v>
      </c>
      <c r="M46" s="86">
        <v>2027</v>
      </c>
      <c r="N46" s="86">
        <v>2028</v>
      </c>
      <c r="O46" s="86">
        <v>2029</v>
      </c>
      <c r="P46" s="86">
        <v>2030</v>
      </c>
      <c r="Q46" s="86">
        <v>2031</v>
      </c>
      <c r="R46" s="86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25</v>
      </c>
      <c r="C47" s="12">
        <v>4192.7160000000003</v>
      </c>
      <c r="D47" s="12">
        <v>5560.0339999999997</v>
      </c>
      <c r="E47" s="12">
        <v>5828.0550000000003</v>
      </c>
      <c r="F47" s="12">
        <v>6068</v>
      </c>
      <c r="G47" s="12">
        <v>6232</v>
      </c>
      <c r="H47" s="12">
        <v>7236</v>
      </c>
      <c r="I47" s="76">
        <f>I48*I11</f>
        <v>8840</v>
      </c>
      <c r="J47" s="83">
        <f t="shared" ref="J47:R47" si="34">J48*J11</f>
        <v>10030</v>
      </c>
      <c r="K47" s="83">
        <f t="shared" si="34"/>
        <v>10640</v>
      </c>
      <c r="L47" s="83">
        <f t="shared" si="34"/>
        <v>12350</v>
      </c>
      <c r="M47" s="83">
        <f t="shared" si="34"/>
        <v>12920</v>
      </c>
      <c r="N47" s="83">
        <f t="shared" si="34"/>
        <v>13470</v>
      </c>
      <c r="O47" s="83">
        <f t="shared" si="34"/>
        <v>13989.999999999998</v>
      </c>
      <c r="P47" s="83">
        <f t="shared" si="34"/>
        <v>14470</v>
      </c>
      <c r="Q47" s="83">
        <f t="shared" si="34"/>
        <v>17180</v>
      </c>
      <c r="R47" s="83">
        <f t="shared" si="34"/>
        <v>17700</v>
      </c>
    </row>
    <row r="48" spans="1:86" x14ac:dyDescent="0.25">
      <c r="A48" s="1"/>
      <c r="B48" s="88" t="s">
        <v>21</v>
      </c>
      <c r="C48" s="89">
        <f t="shared" ref="C48:H48" si="35">C47/C11</f>
        <v>1.1571483740285153E-2</v>
      </c>
      <c r="D48" s="89">
        <f t="shared" si="35"/>
        <v>1.2034190944634468E-2</v>
      </c>
      <c r="E48" s="89">
        <f t="shared" si="35"/>
        <v>1.0102567760739006E-2</v>
      </c>
      <c r="F48" s="89">
        <f t="shared" si="35"/>
        <v>8.1362077334198625E-3</v>
      </c>
      <c r="G48" s="89">
        <f t="shared" si="35"/>
        <v>6.5490252124860236E-3</v>
      </c>
      <c r="H48" s="89">
        <f t="shared" si="35"/>
        <v>6.9162215790701141E-3</v>
      </c>
      <c r="I48" s="90">
        <v>8.0377519753411959E-3</v>
      </c>
      <c r="J48" s="91">
        <v>8.2716191921357769E-3</v>
      </c>
      <c r="K48" s="91">
        <v>8.0321891489955992E-3</v>
      </c>
      <c r="L48" s="91">
        <v>8.7678196171977058E-3</v>
      </c>
      <c r="M48" s="91">
        <v>8.6025514688257386E-3</v>
      </c>
      <c r="N48" s="91">
        <v>8.4884079981346929E-3</v>
      </c>
      <c r="O48" s="91">
        <v>8.5889344564229753E-3</v>
      </c>
      <c r="P48" s="91">
        <v>8.5394425461348244E-3</v>
      </c>
      <c r="Q48" s="91">
        <v>9.6407447727859391E-3</v>
      </c>
      <c r="R48" s="91">
        <v>9.3845933607978483E-3</v>
      </c>
    </row>
    <row r="49" spans="1:86" x14ac:dyDescent="0.25">
      <c r="A49" s="1"/>
      <c r="B49" s="1"/>
      <c r="C49" s="1"/>
      <c r="D49" s="1"/>
      <c r="F49" s="1"/>
      <c r="G49" s="1"/>
      <c r="H49" s="1"/>
      <c r="I49" s="77"/>
      <c r="J49" s="84"/>
      <c r="K49" s="84"/>
      <c r="L49" s="84"/>
      <c r="M49" s="84"/>
      <c r="N49" s="84"/>
      <c r="O49" s="84"/>
      <c r="P49" s="84"/>
      <c r="Q49" s="84"/>
      <c r="R49" s="84"/>
    </row>
    <row r="50" spans="1:86" x14ac:dyDescent="0.25">
      <c r="A50" s="1"/>
      <c r="B50" s="1" t="s">
        <v>26</v>
      </c>
      <c r="C50" s="12">
        <v>-3294.2860000000001</v>
      </c>
      <c r="D50" s="12">
        <v>-9743.4529999999995</v>
      </c>
      <c r="E50" s="12">
        <v>-2597.069</v>
      </c>
      <c r="F50" s="12">
        <v>-3370</v>
      </c>
      <c r="G50" s="12">
        <v>-5562</v>
      </c>
      <c r="H50" s="12">
        <v>-5495</v>
      </c>
      <c r="I50" s="76">
        <f>I51*I11</f>
        <v>-18340</v>
      </c>
      <c r="J50" s="83">
        <f t="shared" ref="J50:R50" si="36">J51*J11</f>
        <v>-20500.000000000004</v>
      </c>
      <c r="K50" s="83">
        <f t="shared" si="36"/>
        <v>-21010</v>
      </c>
      <c r="L50" s="83">
        <f t="shared" si="36"/>
        <v>-24760.000000000004</v>
      </c>
      <c r="M50" s="83">
        <f t="shared" si="36"/>
        <v>-26529.999999999996</v>
      </c>
      <c r="N50" s="83">
        <f t="shared" si="36"/>
        <v>-28200</v>
      </c>
      <c r="O50" s="83">
        <f t="shared" si="36"/>
        <v>-26920</v>
      </c>
      <c r="P50" s="83">
        <f t="shared" si="36"/>
        <v>-28199.999999999996</v>
      </c>
      <c r="Q50" s="83">
        <f t="shared" si="36"/>
        <v>-23510</v>
      </c>
      <c r="R50" s="83">
        <f t="shared" si="36"/>
        <v>-24880</v>
      </c>
    </row>
    <row r="51" spans="1:86" x14ac:dyDescent="0.25">
      <c r="A51" s="1"/>
      <c r="B51" s="88" t="s">
        <v>21</v>
      </c>
      <c r="C51" s="89">
        <f t="shared" ref="C51:H51" si="37">C50/C11</f>
        <v>-9.0919053150389905E-3</v>
      </c>
      <c r="D51" s="89">
        <f t="shared" si="37"/>
        <v>-2.108882317303663E-2</v>
      </c>
      <c r="E51" s="89">
        <f t="shared" si="37"/>
        <v>-4.5018562027665642E-3</v>
      </c>
      <c r="F51" s="89">
        <f t="shared" si="37"/>
        <v>-4.5186255869520331E-3</v>
      </c>
      <c r="G51" s="89">
        <f t="shared" si="37"/>
        <v>-5.8449419499113069E-3</v>
      </c>
      <c r="H51" s="89">
        <f t="shared" si="37"/>
        <v>-5.2521610802916362E-3</v>
      </c>
      <c r="I51" s="90">
        <v>-1.6675607604949946E-2</v>
      </c>
      <c r="J51" s="91">
        <v>-1.6906101040756075E-2</v>
      </c>
      <c r="K51" s="91">
        <v>-1.5860553949285483E-2</v>
      </c>
      <c r="L51" s="91">
        <v>-1.7578235928891919E-2</v>
      </c>
      <c r="M51" s="91">
        <v>-1.7664527126002076E-2</v>
      </c>
      <c r="N51" s="91">
        <v>-1.777083188919067E-2</v>
      </c>
      <c r="O51" s="91">
        <v>-1.652709903980747E-2</v>
      </c>
      <c r="P51" s="91">
        <v>-1.6642175521838425E-2</v>
      </c>
      <c r="Q51" s="91">
        <v>-1.3192893457985879E-2</v>
      </c>
      <c r="R51" s="91">
        <v>-1.3191451006590423E-2</v>
      </c>
    </row>
    <row r="52" spans="1:86" x14ac:dyDescent="0.25">
      <c r="A52" s="1"/>
      <c r="B52" s="1"/>
      <c r="C52" s="1"/>
      <c r="D52" s="1"/>
      <c r="F52" s="1"/>
      <c r="G52" s="1"/>
      <c r="H52" s="1"/>
      <c r="I52" s="77"/>
      <c r="J52" s="84"/>
      <c r="K52" s="84"/>
      <c r="L52" s="84"/>
      <c r="M52" s="84"/>
      <c r="N52" s="84"/>
      <c r="O52" s="84"/>
      <c r="P52" s="84"/>
      <c r="Q52" s="84"/>
      <c r="R52" s="84"/>
    </row>
    <row r="53" spans="1:86" x14ac:dyDescent="0.25">
      <c r="A53" s="1"/>
      <c r="B53" s="1" t="s">
        <v>27</v>
      </c>
      <c r="C53" s="19">
        <v>20806.22</v>
      </c>
      <c r="D53" s="19">
        <v>12356.156000000001</v>
      </c>
      <c r="E53" s="19">
        <v>7766.3419999999996</v>
      </c>
      <c r="F53" s="35">
        <v>18677</v>
      </c>
      <c r="G53" s="35">
        <v>19518</v>
      </c>
      <c r="H53" s="35">
        <v>22229</v>
      </c>
      <c r="I53" s="76">
        <f t="shared" ref="I53:R53" si="38">I54*I11</f>
        <v>14297.529999999999</v>
      </c>
      <c r="J53" s="83">
        <f t="shared" si="38"/>
        <v>15763.539999999999</v>
      </c>
      <c r="K53" s="83">
        <f t="shared" si="38"/>
        <v>17220.71</v>
      </c>
      <c r="L53" s="83">
        <f t="shared" si="38"/>
        <v>18311.28</v>
      </c>
      <c r="M53" s="83">
        <f t="shared" si="38"/>
        <v>19524.439999999999</v>
      </c>
      <c r="N53" s="83">
        <f t="shared" si="38"/>
        <v>20629.309999999998</v>
      </c>
      <c r="O53" s="83">
        <f t="shared" si="38"/>
        <v>21174.92</v>
      </c>
      <c r="P53" s="83">
        <f t="shared" si="38"/>
        <v>22028.370000000003</v>
      </c>
      <c r="Q53" s="83">
        <f t="shared" si="38"/>
        <v>23166.260000000002</v>
      </c>
      <c r="R53" s="83">
        <f t="shared" si="38"/>
        <v>24518.910000000003</v>
      </c>
    </row>
    <row r="54" spans="1:86" x14ac:dyDescent="0.25">
      <c r="A54" s="1"/>
      <c r="B54" s="88" t="s">
        <v>21</v>
      </c>
      <c r="C54" s="89">
        <f t="shared" ref="C54:H54" si="39">C53/C11</f>
        <v>5.7423120580262478E-2</v>
      </c>
      <c r="D54" s="89">
        <f t="shared" si="39"/>
        <v>2.6743782618180188E-2</v>
      </c>
      <c r="E54" s="89">
        <f t="shared" si="39"/>
        <v>1.3462466690529393E-2</v>
      </c>
      <c r="F54" s="89">
        <f t="shared" si="39"/>
        <v>2.5042839788576594E-2</v>
      </c>
      <c r="G54" s="89">
        <f t="shared" si="39"/>
        <v>2.0510891222288545E-2</v>
      </c>
      <c r="H54" s="89">
        <f t="shared" si="39"/>
        <v>2.1246640337361743E-2</v>
      </c>
      <c r="I54" s="97">
        <v>1.2999999999999999E-2</v>
      </c>
      <c r="J54" s="98">
        <v>1.2999999999999999E-2</v>
      </c>
      <c r="K54" s="98">
        <v>1.2999999999999999E-2</v>
      </c>
      <c r="L54" s="98">
        <v>1.2999999999999999E-2</v>
      </c>
      <c r="M54" s="98">
        <v>1.2999999999999999E-2</v>
      </c>
      <c r="N54" s="98">
        <v>1.2999999999999999E-2</v>
      </c>
      <c r="O54" s="98">
        <v>1.2999999999999999E-2</v>
      </c>
      <c r="P54" s="98">
        <v>1.2999999999999999E-2</v>
      </c>
      <c r="Q54" s="98">
        <v>1.2999999999999999E-2</v>
      </c>
      <c r="R54" s="98">
        <v>1.2999999999999999E-2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77"/>
      <c r="J55" s="84"/>
      <c r="K55" s="84"/>
      <c r="L55" s="84"/>
      <c r="M55" s="84"/>
      <c r="N55" s="84"/>
      <c r="O55" s="84"/>
      <c r="P55" s="84"/>
      <c r="Q55" s="84"/>
      <c r="R55" s="84"/>
    </row>
    <row r="56" spans="1:86" x14ac:dyDescent="0.25">
      <c r="A56" s="1"/>
      <c r="B56" s="10" t="s">
        <v>28</v>
      </c>
      <c r="C56" s="12">
        <f>C40+C43</f>
        <v>-975.0689999999878</v>
      </c>
      <c r="D56" s="12">
        <f t="shared" ref="D56:G56" si="40">D40+D43</f>
        <v>-3046.0029999999647</v>
      </c>
      <c r="E56" s="12">
        <f t="shared" si="40"/>
        <v>7192.4400000000478</v>
      </c>
      <c r="F56" s="12">
        <f>F40+F43</f>
        <v>10861</v>
      </c>
      <c r="G56" s="12">
        <f t="shared" si="40"/>
        <v>2254</v>
      </c>
      <c r="H56" s="12">
        <f>H40+H43</f>
        <v>15547</v>
      </c>
      <c r="I56" s="79">
        <f>I40+I43+I35/2</f>
        <v>32703.180292999998</v>
      </c>
      <c r="J56" s="85">
        <f t="shared" ref="J56:R56" si="41">J40+J43+J35/2</f>
        <v>38503.804539600009</v>
      </c>
      <c r="K56" s="85">
        <f t="shared" si="41"/>
        <v>48486.763542999979</v>
      </c>
      <c r="L56" s="85">
        <f t="shared" si="41"/>
        <v>54863.411999999997</v>
      </c>
      <c r="M56" s="85">
        <f t="shared" si="41"/>
        <v>62853.678000000014</v>
      </c>
      <c r="N56" s="85">
        <f t="shared" si="41"/>
        <v>76249.103499999983</v>
      </c>
      <c r="O56" s="85">
        <f t="shared" si="41"/>
        <v>82256.420000000027</v>
      </c>
      <c r="P56" s="85">
        <f t="shared" si="41"/>
        <v>91044.947700000033</v>
      </c>
      <c r="Q56" s="85">
        <f t="shared" si="41"/>
        <v>100595.02900000004</v>
      </c>
      <c r="R56" s="85">
        <f t="shared" si="41"/>
        <v>111278.12999999998</v>
      </c>
    </row>
    <row r="57" spans="1:86" x14ac:dyDescent="0.25">
      <c r="A57" s="1"/>
      <c r="B57" s="10" t="s">
        <v>29</v>
      </c>
      <c r="C57" s="12">
        <f>C38+C43</f>
        <v>-18.632999999987788</v>
      </c>
      <c r="D57" s="12">
        <f t="shared" ref="D57:R57" si="42">D38+D43</f>
        <v>-2800.5499999999647</v>
      </c>
      <c r="E57" s="12">
        <f t="shared" si="42"/>
        <v>11890.092000000048</v>
      </c>
      <c r="F57" s="12">
        <f t="shared" si="42"/>
        <v>49337</v>
      </c>
      <c r="G57" s="12">
        <f t="shared" si="42"/>
        <v>-4467</v>
      </c>
      <c r="H57" s="12">
        <f t="shared" si="42"/>
        <v>9691</v>
      </c>
      <c r="I57" s="79">
        <f>I38+I43</f>
        <v>41501.660292999994</v>
      </c>
      <c r="J57" s="85">
        <f t="shared" si="42"/>
        <v>49720.169539600007</v>
      </c>
      <c r="K57" s="85">
        <f t="shared" si="42"/>
        <v>58421.788542999981</v>
      </c>
      <c r="L57" s="85">
        <f t="shared" si="42"/>
        <v>65427.611999999994</v>
      </c>
      <c r="M57" s="85">
        <f t="shared" si="42"/>
        <v>73366.838000000018</v>
      </c>
      <c r="N57" s="85">
        <f t="shared" si="42"/>
        <v>87753.910999999993</v>
      </c>
      <c r="O57" s="85">
        <f t="shared" si="42"/>
        <v>95287.140000000029</v>
      </c>
      <c r="P57" s="85">
        <f t="shared" si="42"/>
        <v>104600.86770000003</v>
      </c>
      <c r="Q57" s="85">
        <f t="shared" si="42"/>
        <v>114851.18900000004</v>
      </c>
      <c r="R57" s="85">
        <f t="shared" si="42"/>
        <v>126366.68999999997</v>
      </c>
      <c r="S57" s="62">
        <f>R57*(1+$E$6)</f>
        <v>128894.02379999998</v>
      </c>
      <c r="T57" s="62">
        <f t="shared" ref="T57:CE57" si="43">S57*(1+$E$6)</f>
        <v>131471.90427599999</v>
      </c>
      <c r="U57" s="62">
        <f t="shared" si="43"/>
        <v>134101.34236151999</v>
      </c>
      <c r="V57" s="62">
        <f t="shared" si="43"/>
        <v>136783.3692087504</v>
      </c>
      <c r="W57" s="62">
        <f t="shared" si="43"/>
        <v>139519.0365929254</v>
      </c>
      <c r="X57" s="62">
        <f t="shared" si="43"/>
        <v>142309.41732478392</v>
      </c>
      <c r="Y57" s="62">
        <f t="shared" si="43"/>
        <v>145155.6056712796</v>
      </c>
      <c r="Z57" s="62">
        <f t="shared" si="43"/>
        <v>148058.71778470519</v>
      </c>
      <c r="AA57" s="62">
        <f t="shared" si="43"/>
        <v>151019.89214039929</v>
      </c>
      <c r="AB57" s="62">
        <f t="shared" si="43"/>
        <v>154040.28998320727</v>
      </c>
      <c r="AC57" s="62">
        <f t="shared" si="43"/>
        <v>157121.09578287142</v>
      </c>
      <c r="AD57" s="62">
        <f t="shared" si="43"/>
        <v>160263.51769852886</v>
      </c>
      <c r="AE57" s="62">
        <f t="shared" si="43"/>
        <v>163468.78805249944</v>
      </c>
      <c r="AF57" s="62">
        <f t="shared" si="43"/>
        <v>166738.16381354944</v>
      </c>
      <c r="AG57" s="62">
        <f t="shared" si="43"/>
        <v>170072.92708982044</v>
      </c>
      <c r="AH57" s="62">
        <f t="shared" si="43"/>
        <v>173474.38563161687</v>
      </c>
      <c r="AI57" s="62">
        <f t="shared" si="43"/>
        <v>176943.87334424921</v>
      </c>
      <c r="AJ57" s="62">
        <f t="shared" si="43"/>
        <v>180482.7508111342</v>
      </c>
      <c r="AK57" s="62">
        <f t="shared" si="43"/>
        <v>184092.40582735688</v>
      </c>
      <c r="AL57" s="62">
        <f t="shared" si="43"/>
        <v>187774.25394390401</v>
      </c>
      <c r="AM57" s="62">
        <f t="shared" si="43"/>
        <v>191529.7390227821</v>
      </c>
      <c r="AN57" s="62">
        <f t="shared" si="43"/>
        <v>195360.33380323774</v>
      </c>
      <c r="AO57" s="62">
        <f t="shared" si="43"/>
        <v>199267.54047930249</v>
      </c>
      <c r="AP57" s="62">
        <f t="shared" si="43"/>
        <v>203252.89128888855</v>
      </c>
      <c r="AQ57" s="62">
        <f t="shared" si="43"/>
        <v>207317.94911466632</v>
      </c>
      <c r="AR57" s="62">
        <f t="shared" si="43"/>
        <v>211464.30809695966</v>
      </c>
      <c r="AS57" s="62">
        <f t="shared" si="43"/>
        <v>215693.59425889887</v>
      </c>
      <c r="AT57" s="62">
        <f t="shared" si="43"/>
        <v>220007.46614407684</v>
      </c>
      <c r="AU57" s="62">
        <f t="shared" si="43"/>
        <v>224407.61546695838</v>
      </c>
      <c r="AV57" s="62">
        <f t="shared" si="43"/>
        <v>228895.76777629755</v>
      </c>
      <c r="AW57" s="62">
        <f t="shared" si="43"/>
        <v>233473.68313182352</v>
      </c>
      <c r="AX57" s="62">
        <f t="shared" si="43"/>
        <v>238143.15679446</v>
      </c>
      <c r="AY57" s="62">
        <f t="shared" si="43"/>
        <v>242906.0199303492</v>
      </c>
      <c r="AZ57" s="62">
        <f t="shared" si="43"/>
        <v>247764.14032895619</v>
      </c>
      <c r="BA57" s="62">
        <f t="shared" si="43"/>
        <v>252719.42313553533</v>
      </c>
      <c r="BB57" s="62">
        <f t="shared" si="43"/>
        <v>257773.81159824604</v>
      </c>
      <c r="BC57" s="62">
        <f t="shared" si="43"/>
        <v>262929.28783021099</v>
      </c>
      <c r="BD57" s="62">
        <f t="shared" si="43"/>
        <v>268187.8735868152</v>
      </c>
      <c r="BE57" s="62">
        <f t="shared" si="43"/>
        <v>273551.63105855149</v>
      </c>
      <c r="BF57" s="62">
        <f t="shared" si="43"/>
        <v>279022.66367972252</v>
      </c>
      <c r="BG57" s="62">
        <f t="shared" si="43"/>
        <v>284603.11695331696</v>
      </c>
      <c r="BH57" s="62">
        <f t="shared" si="43"/>
        <v>290295.17929238331</v>
      </c>
      <c r="BI57" s="62">
        <f t="shared" si="43"/>
        <v>296101.08287823101</v>
      </c>
      <c r="BJ57" s="62">
        <f t="shared" si="43"/>
        <v>302023.10453579563</v>
      </c>
      <c r="BK57" s="62">
        <f t="shared" si="43"/>
        <v>308063.56662651157</v>
      </c>
      <c r="BL57" s="62">
        <f t="shared" si="43"/>
        <v>314224.83795904182</v>
      </c>
      <c r="BM57" s="62">
        <f t="shared" si="43"/>
        <v>320509.33471822267</v>
      </c>
      <c r="BN57" s="62">
        <f t="shared" si="43"/>
        <v>326919.52141258714</v>
      </c>
      <c r="BO57" s="62">
        <f t="shared" si="43"/>
        <v>333457.9118408389</v>
      </c>
      <c r="BP57" s="62">
        <f t="shared" si="43"/>
        <v>340127.07007765566</v>
      </c>
      <c r="BQ57" s="62">
        <f t="shared" si="43"/>
        <v>346929.6114792088</v>
      </c>
      <c r="BR57" s="62">
        <f t="shared" si="43"/>
        <v>353868.20370879298</v>
      </c>
      <c r="BS57" s="62">
        <f t="shared" si="43"/>
        <v>360945.56778296886</v>
      </c>
      <c r="BT57" s="62">
        <f t="shared" si="43"/>
        <v>368164.47913862823</v>
      </c>
      <c r="BU57" s="62">
        <f t="shared" si="43"/>
        <v>375527.76872140082</v>
      </c>
      <c r="BV57" s="62">
        <f t="shared" si="43"/>
        <v>383038.32409582887</v>
      </c>
      <c r="BW57" s="62">
        <f t="shared" si="43"/>
        <v>390699.09057774546</v>
      </c>
      <c r="BX57" s="62">
        <f t="shared" si="43"/>
        <v>398513.07238930039</v>
      </c>
      <c r="BY57" s="62">
        <f t="shared" si="43"/>
        <v>406483.33383708639</v>
      </c>
      <c r="BZ57" s="62">
        <f t="shared" si="43"/>
        <v>414613.00051382813</v>
      </c>
      <c r="CA57" s="62">
        <f t="shared" si="43"/>
        <v>422905.2605241047</v>
      </c>
      <c r="CB57" s="62">
        <f t="shared" si="43"/>
        <v>431363.36573458678</v>
      </c>
      <c r="CC57" s="62">
        <f t="shared" si="43"/>
        <v>439990.63304927852</v>
      </c>
      <c r="CD57" s="62">
        <f t="shared" si="43"/>
        <v>448790.44571026409</v>
      </c>
      <c r="CE57" s="62">
        <f t="shared" si="43"/>
        <v>457766.25462446938</v>
      </c>
      <c r="CF57" s="62">
        <f t="shared" ref="CF57:CH57" si="44">CE57*(1+$E$6)</f>
        <v>466921.5797169588</v>
      </c>
      <c r="CG57" s="62">
        <f t="shared" si="44"/>
        <v>476260.011311298</v>
      </c>
      <c r="CH57" s="62">
        <f t="shared" si="44"/>
        <v>485785.21153752395</v>
      </c>
    </row>
    <row r="58" spans="1:86" x14ac:dyDescent="0.25">
      <c r="A58" s="1"/>
      <c r="B58" s="6"/>
      <c r="C58" s="20"/>
      <c r="D58" s="20"/>
      <c r="E58" s="20"/>
      <c r="F58" s="20"/>
      <c r="G58" s="20"/>
      <c r="H58" s="20"/>
      <c r="I58" s="77"/>
      <c r="J58" s="84"/>
      <c r="K58" s="84"/>
      <c r="L58" s="84"/>
      <c r="M58" s="84"/>
      <c r="N58" s="84"/>
      <c r="O58" s="84"/>
      <c r="P58" s="84"/>
      <c r="Q58" s="84"/>
      <c r="R58" s="84"/>
    </row>
    <row r="59" spans="1:86" x14ac:dyDescent="0.25">
      <c r="A59" s="1"/>
      <c r="B59" s="10" t="s">
        <v>30</v>
      </c>
      <c r="C59" s="12">
        <f t="shared" ref="C59:R59" si="45">C56+C47+C50-C53</f>
        <v>-20882.858999999989</v>
      </c>
      <c r="D59" s="12">
        <f t="shared" si="45"/>
        <v>-19585.577999999965</v>
      </c>
      <c r="E59" s="12">
        <f t="shared" si="45"/>
        <v>2657.0840000000489</v>
      </c>
      <c r="F59" s="12">
        <f t="shared" si="45"/>
        <v>-5118</v>
      </c>
      <c r="G59" s="12">
        <f t="shared" si="45"/>
        <v>-16594</v>
      </c>
      <c r="H59" s="12">
        <f t="shared" si="45"/>
        <v>-4941</v>
      </c>
      <c r="I59" s="79">
        <f t="shared" si="45"/>
        <v>8905.6502929999988</v>
      </c>
      <c r="J59" s="85">
        <f t="shared" si="45"/>
        <v>12270.264539600006</v>
      </c>
      <c r="K59" s="85">
        <f t="shared" si="45"/>
        <v>20896.05354299998</v>
      </c>
      <c r="L59" s="85">
        <f t="shared" si="45"/>
        <v>24142.131999999998</v>
      </c>
      <c r="M59" s="85">
        <f t="shared" si="45"/>
        <v>29719.238000000016</v>
      </c>
      <c r="N59" s="85">
        <f t="shared" si="45"/>
        <v>40889.793499999985</v>
      </c>
      <c r="O59" s="85">
        <f t="shared" si="45"/>
        <v>48151.500000000029</v>
      </c>
      <c r="P59" s="85">
        <f t="shared" si="45"/>
        <v>55286.577700000031</v>
      </c>
      <c r="Q59" s="85">
        <f t="shared" si="45"/>
        <v>71098.769000000029</v>
      </c>
      <c r="R59" s="85">
        <f t="shared" si="45"/>
        <v>79579.219999999972</v>
      </c>
    </row>
    <row r="60" spans="1:86" x14ac:dyDescent="0.25">
      <c r="A60" s="1"/>
      <c r="B60" s="22" t="s">
        <v>31</v>
      </c>
      <c r="C60" s="1"/>
      <c r="D60" s="1"/>
      <c r="E60" s="1"/>
      <c r="F60" s="1"/>
      <c r="G60" s="1"/>
      <c r="H60" s="1"/>
      <c r="I60" s="63">
        <f t="shared" ref="I60:R60" si="46">I59/((1+$E$5)^I9)</f>
        <v>8055.04501967548</v>
      </c>
      <c r="J60" s="19">
        <f t="shared" si="46"/>
        <v>10038.263591961222</v>
      </c>
      <c r="K60" s="19">
        <f t="shared" si="46"/>
        <v>15462.199653689377</v>
      </c>
      <c r="L60" s="19">
        <f t="shared" si="46"/>
        <v>16157.901609921013</v>
      </c>
      <c r="M60" s="19">
        <f t="shared" si="46"/>
        <v>17990.753115016047</v>
      </c>
      <c r="N60" s="19">
        <f t="shared" si="46"/>
        <v>22388.702524413249</v>
      </c>
      <c r="O60" s="19">
        <f t="shared" si="46"/>
        <v>23846.583371078937</v>
      </c>
      <c r="P60" s="19">
        <f t="shared" si="46"/>
        <v>24765.003043080502</v>
      </c>
      <c r="Q60" s="19">
        <f t="shared" si="46"/>
        <v>28806.009159219047</v>
      </c>
      <c r="R60" s="19">
        <f t="shared" si="46"/>
        <v>29162.384103706368</v>
      </c>
    </row>
    <row r="61" spans="1:86" x14ac:dyDescent="0.25">
      <c r="A61" s="1"/>
      <c r="B61" s="23"/>
      <c r="C61" s="23"/>
      <c r="D61" s="23"/>
      <c r="E61" s="23"/>
      <c r="F61" s="23"/>
      <c r="G61" s="23"/>
      <c r="H61" s="23"/>
      <c r="I61" s="24"/>
      <c r="J61" s="23"/>
      <c r="K61" s="23"/>
      <c r="L61" s="23"/>
      <c r="M61" s="23"/>
      <c r="N61" s="23"/>
      <c r="O61" s="23"/>
      <c r="P61" s="23"/>
      <c r="Q61" s="23"/>
      <c r="R61" s="23"/>
    </row>
    <row r="62" spans="1:86" x14ac:dyDescent="0.25">
      <c r="A62" s="1"/>
      <c r="B62" s="1" t="s">
        <v>32</v>
      </c>
      <c r="C62" s="25">
        <f>(R59*(1+$E$6))/($E$5-$E$6)</f>
        <v>948267.34882897395</v>
      </c>
      <c r="D62" s="1"/>
      <c r="E62" s="1" t="s">
        <v>33</v>
      </c>
      <c r="F62" s="19">
        <f>NPV($E$5,I57:CH57)</f>
        <v>994085.52387974411</v>
      </c>
      <c r="G62" s="1"/>
      <c r="H62" s="1"/>
      <c r="I62" s="16"/>
      <c r="J62" s="1"/>
      <c r="K62" s="1"/>
      <c r="L62" s="1"/>
      <c r="M62" s="1"/>
      <c r="N62" s="1"/>
      <c r="O62" s="1"/>
      <c r="P62" s="1"/>
      <c r="Q62" s="1"/>
    </row>
    <row r="63" spans="1:86" x14ac:dyDescent="0.25">
      <c r="A63" s="1"/>
      <c r="B63" s="3" t="s">
        <v>34</v>
      </c>
      <c r="C63" s="26">
        <f>C62/((1+$E$5)^$R$9)</f>
        <v>347499.46857425669</v>
      </c>
      <c r="D63" s="17"/>
      <c r="E63" s="3"/>
      <c r="F63" s="3"/>
      <c r="G63" s="3"/>
      <c r="H63" s="17"/>
      <c r="I63" s="13"/>
      <c r="J63" s="1"/>
      <c r="L63" s="52" t="s">
        <v>57</v>
      </c>
      <c r="M63" s="53"/>
      <c r="N63" s="53"/>
      <c r="O63" s="53"/>
      <c r="P63" s="53"/>
      <c r="Q63" s="52"/>
    </row>
    <row r="64" spans="1:86" x14ac:dyDescent="0.25">
      <c r="A64" s="1"/>
      <c r="B64" s="6" t="s">
        <v>35</v>
      </c>
      <c r="C64" s="6"/>
      <c r="D64" s="1"/>
      <c r="E64" s="6"/>
      <c r="F64" s="6"/>
      <c r="G64" s="27" t="s">
        <v>36</v>
      </c>
      <c r="H64" s="27" t="s">
        <v>33</v>
      </c>
      <c r="I64" s="16"/>
      <c r="J64" s="1"/>
      <c r="K64" s="52"/>
      <c r="L64" s="54">
        <f>D70</f>
        <v>65.037423295863604</v>
      </c>
      <c r="M64" s="55">
        <v>-0.01</v>
      </c>
      <c r="N64" s="55">
        <v>0.01</v>
      </c>
      <c r="O64" s="55">
        <v>0.02</v>
      </c>
      <c r="P64" s="55">
        <v>0.03</v>
      </c>
      <c r="Q64" s="55">
        <v>0.04</v>
      </c>
    </row>
    <row r="65" spans="1:17" x14ac:dyDescent="0.25">
      <c r="A65" s="1"/>
      <c r="B65" s="28" t="s">
        <v>37</v>
      </c>
      <c r="C65" s="1"/>
      <c r="D65" s="21">
        <f>74373+6397</f>
        <v>80770</v>
      </c>
      <c r="E65" s="1"/>
      <c r="F65" s="1"/>
      <c r="G65" s="25">
        <f>C63+SUM(I60:R60)</f>
        <v>544172.31376601791</v>
      </c>
      <c r="H65" s="19">
        <f>F62</f>
        <v>994085.52387974411</v>
      </c>
      <c r="I65" s="16"/>
      <c r="J65" s="1"/>
      <c r="K65" s="52"/>
      <c r="L65" s="56">
        <f>L66-1%</f>
        <v>8.6383293578563475E-2</v>
      </c>
      <c r="M65" s="57">
        <f t="dataTable" ref="M65:Q69" dt2D="1" dtr="1" r1="E6" r2="E5"/>
        <v>69.250491645585214</v>
      </c>
      <c r="N65" s="57">
        <v>80.623822903171671</v>
      </c>
      <c r="O65" s="57">
        <v>88.726445302381578</v>
      </c>
      <c r="P65" s="57">
        <v>99.4243124752509</v>
      </c>
      <c r="Q65" s="57">
        <v>114.08367779612716</v>
      </c>
    </row>
    <row r="66" spans="1:17" x14ac:dyDescent="0.25">
      <c r="A66" s="1"/>
      <c r="B66" s="29" t="s">
        <v>38</v>
      </c>
      <c r="C66" s="3"/>
      <c r="D66" s="30">
        <f>224181-121432</f>
        <v>102749</v>
      </c>
      <c r="E66" s="3"/>
      <c r="F66" s="3"/>
      <c r="G66" s="3"/>
      <c r="H66" s="3"/>
      <c r="I66" s="16"/>
      <c r="J66" s="1"/>
      <c r="K66" s="53"/>
      <c r="L66" s="56">
        <f>L67-1%</f>
        <v>9.638329357856347E-2</v>
      </c>
      <c r="M66" s="57">
        <v>60.640844125831748</v>
      </c>
      <c r="N66" s="58">
        <v>69.086012495200109</v>
      </c>
      <c r="O66" s="58">
        <v>74.901563622371569</v>
      </c>
      <c r="P66" s="58">
        <v>82.353318805839422</v>
      </c>
      <c r="Q66" s="57">
        <v>92.186135429560295</v>
      </c>
    </row>
    <row r="67" spans="1:17" x14ac:dyDescent="0.25">
      <c r="A67" s="1"/>
      <c r="B67" s="6" t="s">
        <v>39</v>
      </c>
      <c r="C67" s="6"/>
      <c r="D67" s="6"/>
      <c r="E67" s="6"/>
      <c r="F67" s="6"/>
      <c r="G67" s="31">
        <f>(G65+D65-D66)/D71</f>
        <v>72728.873783567949</v>
      </c>
      <c r="H67" s="32">
        <f>(H65+D65-D66)/D71</f>
        <v>135390.88076319557</v>
      </c>
      <c r="I67" s="16"/>
      <c r="J67"/>
      <c r="K67" s="52" t="s">
        <v>1</v>
      </c>
      <c r="L67" s="59">
        <v>0.10638329357856346</v>
      </c>
      <c r="M67" s="57">
        <v>53.614472195540422</v>
      </c>
      <c r="N67" s="58">
        <v>60.014484498368944</v>
      </c>
      <c r="O67" s="60">
        <v>64.297302182527531</v>
      </c>
      <c r="P67" s="58">
        <v>69.651907202888282</v>
      </c>
      <c r="Q67" s="57">
        <v>76.51006912541267</v>
      </c>
    </row>
    <row r="68" spans="1:17" x14ac:dyDescent="0.25">
      <c r="A68" s="1"/>
      <c r="B68" s="3" t="s">
        <v>40</v>
      </c>
      <c r="C68" s="3"/>
      <c r="D68" s="37">
        <f>1600000000/1000000</f>
        <v>1600</v>
      </c>
      <c r="E68" s="3"/>
      <c r="F68" s="3"/>
      <c r="G68" s="3"/>
      <c r="H68" s="3"/>
      <c r="I68" s="16"/>
      <c r="J68" s="1"/>
      <c r="K68" s="52"/>
      <c r="L68" s="61">
        <f>L67+1%</f>
        <v>0.11638329357856346</v>
      </c>
      <c r="M68" s="57">
        <v>47.792041533686728</v>
      </c>
      <c r="N68" s="58">
        <v>52.727178402286377</v>
      </c>
      <c r="O68" s="58">
        <v>55.950126974592791</v>
      </c>
      <c r="P68" s="58">
        <v>59.897527024972554</v>
      </c>
      <c r="Q68" s="57">
        <v>64.831254846722132</v>
      </c>
    </row>
    <row r="69" spans="1:17" x14ac:dyDescent="0.25">
      <c r="A69" s="1"/>
      <c r="B69" s="18" t="s">
        <v>41</v>
      </c>
      <c r="C69" s="18"/>
      <c r="D69" s="18">
        <f>D68*$J$5</f>
        <v>55472</v>
      </c>
      <c r="E69" s="18"/>
      <c r="F69" s="18"/>
      <c r="G69" s="18"/>
      <c r="H69" s="33"/>
      <c r="I69" s="1"/>
      <c r="J69" s="1"/>
      <c r="K69" s="52"/>
      <c r="L69" s="61">
        <f>L68+1%</f>
        <v>0.12638329357856345</v>
      </c>
      <c r="M69" s="57">
        <v>42.903925019555714</v>
      </c>
      <c r="N69" s="57">
        <v>46.766801578917267</v>
      </c>
      <c r="O69" s="57">
        <v>49.237178940266993</v>
      </c>
      <c r="P69" s="57">
        <v>52.210450410502375</v>
      </c>
      <c r="Q69" s="57">
        <v>55.851273237906533</v>
      </c>
    </row>
    <row r="70" spans="1:17" x14ac:dyDescent="0.25">
      <c r="A70" s="1"/>
      <c r="B70" s="6" t="s">
        <v>42</v>
      </c>
      <c r="C70" s="6" t="s">
        <v>43</v>
      </c>
      <c r="D70" s="6">
        <f>(G70+H70)/2</f>
        <v>65.037423295863604</v>
      </c>
      <c r="F70" s="6"/>
      <c r="G70" s="34">
        <f>G67/D68</f>
        <v>45.45554611472997</v>
      </c>
      <c r="H70" s="34">
        <f>H67/D68</f>
        <v>84.619300476997239</v>
      </c>
      <c r="I70" s="16"/>
      <c r="J70" s="1"/>
    </row>
    <row r="71" spans="1:17" x14ac:dyDescent="0.25">
      <c r="A71"/>
      <c r="B71" s="2" t="s">
        <v>56</v>
      </c>
      <c r="C71" s="1" t="s">
        <v>55</v>
      </c>
      <c r="D71" s="1">
        <v>7.18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60B4-6D92-41D3-BAC7-D8908937FE27}">
  <dimension ref="A1:AL47"/>
  <sheetViews>
    <sheetView topLeftCell="A37" workbookViewId="0">
      <selection activeCell="E19" sqref="E19"/>
    </sheetView>
  </sheetViews>
  <sheetFormatPr defaultRowHeight="15" x14ac:dyDescent="0.25"/>
  <cols>
    <col min="2" max="2" width="9.140625" customWidth="1"/>
    <col min="4" max="6" width="14" customWidth="1"/>
    <col min="8" max="13" width="10.42578125" customWidth="1"/>
  </cols>
  <sheetData>
    <row r="1" spans="1:38" ht="17.25" customHeight="1" x14ac:dyDescent="0.25">
      <c r="A1" s="66" t="s">
        <v>85</v>
      </c>
      <c r="B1" s="66"/>
      <c r="C1" s="66"/>
      <c r="D1" s="66"/>
      <c r="E1" s="66"/>
      <c r="F1" s="66"/>
      <c r="U1" s="73" t="s">
        <v>85</v>
      </c>
      <c r="V1" s="73"/>
      <c r="W1" s="73"/>
      <c r="X1" s="73"/>
      <c r="Y1" s="73"/>
      <c r="Z1" s="73"/>
    </row>
    <row r="2" spans="1:38" ht="17.25" customHeight="1" x14ac:dyDescent="0.25"/>
    <row r="3" spans="1:38" ht="17.25" customHeight="1" x14ac:dyDescent="0.25"/>
    <row r="4" spans="1:38" ht="17.25" customHeight="1" x14ac:dyDescent="0.25">
      <c r="C4" t="s">
        <v>59</v>
      </c>
      <c r="M4" s="66"/>
      <c r="N4" s="66"/>
      <c r="O4" s="66"/>
      <c r="P4" s="66"/>
      <c r="Q4" s="66"/>
      <c r="Y4" s="73" t="s">
        <v>59</v>
      </c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</row>
    <row r="5" spans="1:38" ht="17.25" customHeight="1" x14ac:dyDescent="0.25">
      <c r="C5" t="s">
        <v>78</v>
      </c>
      <c r="E5" s="66"/>
      <c r="G5" t="s">
        <v>79</v>
      </c>
      <c r="I5" s="66"/>
      <c r="K5" t="s">
        <v>80</v>
      </c>
      <c r="M5" s="66"/>
      <c r="N5" s="66"/>
      <c r="O5" s="66"/>
      <c r="P5" s="66"/>
      <c r="Q5" s="66"/>
      <c r="W5" s="66" t="s">
        <v>86</v>
      </c>
      <c r="Y5" s="73" t="s">
        <v>60</v>
      </c>
      <c r="Z5" s="73"/>
      <c r="AC5" s="73" t="s">
        <v>61</v>
      </c>
      <c r="AD5" s="73"/>
      <c r="AG5" s="73" t="s">
        <v>62</v>
      </c>
      <c r="AH5" s="73"/>
      <c r="AI5" s="73"/>
      <c r="AJ5" s="73"/>
      <c r="AK5" s="73"/>
      <c r="AL5" s="73"/>
    </row>
    <row r="6" spans="1:38" ht="17.25" customHeight="1" x14ac:dyDescent="0.25">
      <c r="C6" t="s">
        <v>63</v>
      </c>
      <c r="E6" s="66"/>
      <c r="G6" t="s">
        <v>63</v>
      </c>
      <c r="I6" s="66"/>
      <c r="K6" t="s">
        <v>63</v>
      </c>
      <c r="M6" s="66"/>
      <c r="P6" s="66" t="s">
        <v>64</v>
      </c>
      <c r="Q6" s="66"/>
      <c r="Y6" s="73" t="s">
        <v>63</v>
      </c>
      <c r="Z6" s="73"/>
      <c r="AC6" s="73" t="s">
        <v>63</v>
      </c>
      <c r="AD6" s="73"/>
      <c r="AG6" s="73" t="s">
        <v>63</v>
      </c>
      <c r="AH6" s="73"/>
      <c r="AK6" s="73" t="s">
        <v>64</v>
      </c>
      <c r="AL6" s="73"/>
    </row>
    <row r="7" spans="1:38" ht="17.25" customHeight="1" x14ac:dyDescent="0.25">
      <c r="A7" t="s">
        <v>88</v>
      </c>
      <c r="C7" s="66"/>
      <c r="E7" s="66"/>
      <c r="G7" s="66"/>
      <c r="I7" s="66"/>
      <c r="K7" s="66"/>
      <c r="P7" s="66" t="s">
        <v>81</v>
      </c>
      <c r="Q7" s="66"/>
      <c r="Y7" s="72"/>
      <c r="Z7" s="72"/>
      <c r="AC7" s="72"/>
      <c r="AD7" s="72"/>
      <c r="AG7" s="72"/>
      <c r="AH7" s="72"/>
      <c r="AK7" s="73" t="s">
        <v>65</v>
      </c>
      <c r="AL7" s="73"/>
    </row>
    <row r="8" spans="1:38" ht="17.25" customHeight="1" x14ac:dyDescent="0.25">
      <c r="A8" t="s">
        <v>89</v>
      </c>
      <c r="D8" s="35">
        <v>331824410</v>
      </c>
      <c r="E8" s="35">
        <v>416108746</v>
      </c>
      <c r="F8" s="35">
        <v>510733967</v>
      </c>
      <c r="M8" s="72" t="s">
        <v>87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1:38" ht="17.25" customHeight="1" x14ac:dyDescent="0.25">
      <c r="A9" t="s">
        <v>91</v>
      </c>
      <c r="D9" s="35">
        <v>30507344</v>
      </c>
      <c r="E9" s="35">
        <v>45911013</v>
      </c>
      <c r="F9" s="35">
        <v>66154517</v>
      </c>
      <c r="I9" s="66" t="s">
        <v>88</v>
      </c>
      <c r="U9" s="66"/>
      <c r="V9" s="66"/>
      <c r="W9" s="66"/>
      <c r="Y9" s="66"/>
      <c r="Z9" s="66"/>
    </row>
    <row r="10" spans="1:38" ht="17.25" customHeight="1" x14ac:dyDescent="0.25">
      <c r="I10" t="s">
        <v>89</v>
      </c>
      <c r="K10" t="s">
        <v>90</v>
      </c>
      <c r="N10" s="35">
        <v>651879</v>
      </c>
      <c r="O10" s="35">
        <v>815655</v>
      </c>
      <c r="P10" s="35">
        <v>865062</v>
      </c>
      <c r="T10" s="35">
        <v>125422</v>
      </c>
    </row>
    <row r="11" spans="1:38" ht="17.25" customHeight="1" x14ac:dyDescent="0.25">
      <c r="A11" s="66" t="s">
        <v>92</v>
      </c>
      <c r="D11" s="35">
        <v>362331754</v>
      </c>
      <c r="E11" s="35">
        <v>462019759</v>
      </c>
      <c r="F11" s="35">
        <v>576888484</v>
      </c>
      <c r="I11" t="s">
        <v>91</v>
      </c>
      <c r="K11" t="s">
        <v>90</v>
      </c>
      <c r="N11" s="35">
        <v>93923</v>
      </c>
      <c r="O11" s="35">
        <v>135937</v>
      </c>
      <c r="P11" s="35">
        <v>181174</v>
      </c>
      <c r="T11" s="35">
        <v>26268</v>
      </c>
    </row>
    <row r="12" spans="1:38" ht="17.25" customHeight="1" x14ac:dyDescent="0.25"/>
    <row r="13" spans="1:38" ht="17.25" customHeight="1" x14ac:dyDescent="0.25">
      <c r="A13" t="s">
        <v>93</v>
      </c>
      <c r="D13" s="67">
        <v>-311516831</v>
      </c>
      <c r="E13" s="67">
        <v>-396066126</v>
      </c>
      <c r="F13" s="67">
        <v>-492467391</v>
      </c>
      <c r="I13" s="66" t="s">
        <v>92</v>
      </c>
      <c r="N13" s="35">
        <v>745802</v>
      </c>
      <c r="O13" s="35">
        <v>951592</v>
      </c>
      <c r="P13" s="35">
        <v>1046236</v>
      </c>
      <c r="T13" s="35">
        <v>151690</v>
      </c>
    </row>
    <row r="14" spans="1:38" ht="17.25" customHeight="1" x14ac:dyDescent="0.25">
      <c r="A14" t="s">
        <v>94</v>
      </c>
      <c r="D14" s="67">
        <v>-25865128</v>
      </c>
      <c r="E14" s="67">
        <v>-32009658</v>
      </c>
      <c r="F14" s="67">
        <v>-36968041</v>
      </c>
    </row>
    <row r="15" spans="1:38" ht="17.25" customHeight="1" x14ac:dyDescent="0.25">
      <c r="A15" t="s">
        <v>66</v>
      </c>
      <c r="D15" s="67">
        <v>-14918107</v>
      </c>
      <c r="E15" s="67">
        <v>-19236740</v>
      </c>
      <c r="F15" s="67">
        <v>-22234045</v>
      </c>
      <c r="I15" t="s">
        <v>93</v>
      </c>
      <c r="N15" s="67">
        <v>-636694</v>
      </c>
      <c r="O15" s="67">
        <v>-822526</v>
      </c>
      <c r="P15" s="67">
        <v>-899163</v>
      </c>
      <c r="T15" s="67">
        <v>-130366</v>
      </c>
    </row>
    <row r="16" spans="1:38" ht="17.25" customHeight="1" x14ac:dyDescent="0.25">
      <c r="A16" t="s">
        <v>82</v>
      </c>
      <c r="D16" s="67">
        <v>-6652374</v>
      </c>
      <c r="E16" s="67">
        <v>-12144383</v>
      </c>
      <c r="F16" s="67">
        <v>-14618677</v>
      </c>
      <c r="I16" t="s">
        <v>94</v>
      </c>
      <c r="N16" s="67">
        <v>-48700</v>
      </c>
      <c r="O16" s="67">
        <v>-59055</v>
      </c>
      <c r="P16" s="67">
        <v>-63011</v>
      </c>
      <c r="T16" s="67">
        <v>-9136</v>
      </c>
    </row>
    <row r="17" spans="1:20" ht="17.25" customHeight="1" x14ac:dyDescent="0.25">
      <c r="A17" t="s">
        <v>68</v>
      </c>
      <c r="D17" s="67">
        <v>-4214790</v>
      </c>
      <c r="E17" s="67">
        <v>-5159666</v>
      </c>
      <c r="F17" s="67">
        <v>-5490159</v>
      </c>
      <c r="I17" t="s">
        <v>66</v>
      </c>
      <c r="N17" s="67">
        <v>-27156</v>
      </c>
      <c r="O17" s="67">
        <v>-38743</v>
      </c>
      <c r="P17" s="67">
        <v>-37772</v>
      </c>
      <c r="T17" s="67">
        <v>-5476</v>
      </c>
    </row>
    <row r="18" spans="1:20" ht="17.25" customHeight="1" x14ac:dyDescent="0.25">
      <c r="A18" t="s">
        <v>128</v>
      </c>
      <c r="D18" t="s">
        <v>67</v>
      </c>
      <c r="E18" s="67">
        <v>-22317</v>
      </c>
      <c r="F18" t="s">
        <v>67</v>
      </c>
      <c r="I18" t="s">
        <v>82</v>
      </c>
      <c r="N18" s="67">
        <v>-16149</v>
      </c>
      <c r="O18" s="67">
        <v>-16332</v>
      </c>
      <c r="P18" s="67">
        <v>-16893</v>
      </c>
      <c r="T18" s="67">
        <v>-2449</v>
      </c>
    </row>
    <row r="19" spans="1:20" ht="17.25" customHeight="1" x14ac:dyDescent="0.25">
      <c r="A19" t="s">
        <v>95</v>
      </c>
      <c r="D19" t="s">
        <v>67</v>
      </c>
      <c r="E19" t="s">
        <v>67</v>
      </c>
      <c r="F19" s="35">
        <v>3884709</v>
      </c>
      <c r="I19" t="s">
        <v>68</v>
      </c>
      <c r="N19" s="67">
        <v>-6409</v>
      </c>
      <c r="O19" s="67">
        <v>-11562</v>
      </c>
      <c r="P19" s="67">
        <v>-11053</v>
      </c>
      <c r="T19" s="67">
        <v>-1603</v>
      </c>
    </row>
    <row r="20" spans="1:20" ht="17.25" customHeight="1" x14ac:dyDescent="0.25">
      <c r="I20" s="66" t="s">
        <v>95</v>
      </c>
      <c r="K20" s="35">
        <v>19</v>
      </c>
      <c r="N20" s="35">
        <v>1649</v>
      </c>
      <c r="O20" s="35">
        <v>767</v>
      </c>
      <c r="P20" s="35">
        <v>1379</v>
      </c>
      <c r="T20" s="35">
        <v>200</v>
      </c>
    </row>
    <row r="21" spans="1:20" ht="17.25" customHeight="1" x14ac:dyDescent="0.25">
      <c r="A21" t="s">
        <v>129</v>
      </c>
      <c r="D21" s="67">
        <v>-835476</v>
      </c>
      <c r="E21" s="67">
        <v>-2619131</v>
      </c>
      <c r="F21" s="35">
        <v>8994880</v>
      </c>
    </row>
    <row r="22" spans="1:20" ht="17.25" customHeight="1" x14ac:dyDescent="0.25">
      <c r="I22" s="66" t="s">
        <v>96</v>
      </c>
      <c r="N22" s="35">
        <v>12343</v>
      </c>
      <c r="O22" s="35">
        <v>4141</v>
      </c>
      <c r="P22" s="35">
        <v>19723</v>
      </c>
      <c r="T22" s="35">
        <v>2860</v>
      </c>
    </row>
    <row r="23" spans="1:20" ht="17.25" customHeight="1" x14ac:dyDescent="0.25">
      <c r="A23" t="s">
        <v>69</v>
      </c>
      <c r="C23" s="66"/>
    </row>
    <row r="24" spans="1:20" ht="17.25" customHeight="1" x14ac:dyDescent="0.25">
      <c r="A24" t="s">
        <v>97</v>
      </c>
      <c r="D24" s="67">
        <v>-1926720</v>
      </c>
      <c r="E24" s="67">
        <v>-1113105</v>
      </c>
      <c r="F24" s="67">
        <v>-1738219</v>
      </c>
      <c r="I24" s="66" t="s">
        <v>69</v>
      </c>
    </row>
    <row r="25" spans="1:20" ht="17.25" customHeight="1" x14ac:dyDescent="0.25">
      <c r="A25" t="s">
        <v>83</v>
      </c>
      <c r="D25" s="35">
        <v>2530490</v>
      </c>
      <c r="E25" s="35">
        <v>2117921</v>
      </c>
      <c r="F25" s="35">
        <v>1785572</v>
      </c>
      <c r="I25" t="s">
        <v>97</v>
      </c>
      <c r="K25" s="35">
        <v>8</v>
      </c>
      <c r="N25" s="35">
        <v>4291</v>
      </c>
      <c r="O25" s="67">
        <v>-4918</v>
      </c>
      <c r="P25" s="67">
        <v>-2195</v>
      </c>
      <c r="T25" s="67">
        <v>-318</v>
      </c>
    </row>
    <row r="26" spans="1:20" ht="17.25" customHeight="1" x14ac:dyDescent="0.25">
      <c r="A26" t="s">
        <v>98</v>
      </c>
      <c r="D26" s="67">
        <v>-963742</v>
      </c>
      <c r="E26" s="67">
        <v>-854538</v>
      </c>
      <c r="F26" s="67">
        <v>-725010</v>
      </c>
      <c r="I26" t="s">
        <v>98</v>
      </c>
      <c r="N26" s="67">
        <v>-1125</v>
      </c>
      <c r="O26" s="67">
        <v>-1213</v>
      </c>
      <c r="P26" s="67">
        <v>-2106</v>
      </c>
      <c r="T26" s="67">
        <v>-305</v>
      </c>
    </row>
    <row r="27" spans="1:20" ht="17.25" customHeight="1" x14ac:dyDescent="0.25">
      <c r="A27" t="s">
        <v>99</v>
      </c>
      <c r="D27" s="35">
        <v>1316408</v>
      </c>
      <c r="E27" s="35">
        <v>95175</v>
      </c>
      <c r="F27" s="35">
        <v>5375309</v>
      </c>
      <c r="I27" t="s">
        <v>99</v>
      </c>
      <c r="K27" s="35">
        <v>20</v>
      </c>
      <c r="N27" s="35">
        <v>35310</v>
      </c>
      <c r="O27" s="67">
        <v>-590</v>
      </c>
      <c r="P27" s="67">
        <v>-1555</v>
      </c>
      <c r="T27" s="67">
        <v>-225</v>
      </c>
    </row>
    <row r="28" spans="1:20" ht="17.25" customHeight="1" x14ac:dyDescent="0.25"/>
    <row r="29" spans="1:20" ht="17.25" customHeight="1" x14ac:dyDescent="0.25">
      <c r="A29" t="s">
        <v>70</v>
      </c>
      <c r="D29" s="35">
        <v>120960</v>
      </c>
      <c r="E29" s="67">
        <v>-2373678</v>
      </c>
      <c r="F29" s="35">
        <v>13692532</v>
      </c>
      <c r="I29" s="66" t="s">
        <v>70</v>
      </c>
      <c r="N29" s="35">
        <v>50819</v>
      </c>
      <c r="O29" s="67">
        <v>-2580</v>
      </c>
      <c r="P29" s="35">
        <v>13867</v>
      </c>
      <c r="T29" s="35">
        <v>2012</v>
      </c>
    </row>
    <row r="30" spans="1:20" ht="17.25" customHeight="1" x14ac:dyDescent="0.25">
      <c r="A30" t="s">
        <v>71</v>
      </c>
      <c r="D30" s="67">
        <v>-139593</v>
      </c>
      <c r="E30" s="67">
        <v>-426872</v>
      </c>
      <c r="F30" s="67">
        <v>-1802440</v>
      </c>
      <c r="I30" t="s">
        <v>71</v>
      </c>
      <c r="K30" s="35">
        <v>21</v>
      </c>
      <c r="N30" s="67">
        <v>-1482</v>
      </c>
      <c r="O30" s="67">
        <v>-1887</v>
      </c>
      <c r="P30" s="67">
        <v>-4176</v>
      </c>
      <c r="T30" s="67">
        <v>-605</v>
      </c>
    </row>
    <row r="31" spans="1:20" ht="17.25" customHeight="1" x14ac:dyDescent="0.25"/>
    <row r="32" spans="1:20" ht="17.25" customHeight="1" x14ac:dyDescent="0.25">
      <c r="A32" t="s">
        <v>130</v>
      </c>
      <c r="D32" s="67">
        <v>-18633</v>
      </c>
      <c r="E32" s="67">
        <v>-2800550</v>
      </c>
      <c r="F32" s="35">
        <v>11890092</v>
      </c>
      <c r="I32" s="66" t="s">
        <v>72</v>
      </c>
      <c r="N32" s="35">
        <v>49337</v>
      </c>
      <c r="O32" s="67">
        <v>-4467</v>
      </c>
      <c r="P32" s="35">
        <v>9691</v>
      </c>
      <c r="T32" s="35">
        <v>1407</v>
      </c>
    </row>
    <row r="33" spans="1:20" ht="17.25" customHeight="1" x14ac:dyDescent="0.25"/>
    <row r="34" spans="1:20" ht="17.25" customHeight="1" x14ac:dyDescent="0.25">
      <c r="A34" t="s">
        <v>131</v>
      </c>
      <c r="D34" s="35">
        <v>6915</v>
      </c>
      <c r="E34" t="s">
        <v>67</v>
      </c>
      <c r="F34" t="s">
        <v>67</v>
      </c>
      <c r="I34" t="s">
        <v>100</v>
      </c>
      <c r="N34" s="67">
        <v>-75</v>
      </c>
      <c r="O34" s="67">
        <v>-923</v>
      </c>
      <c r="P34" s="67">
        <v>-697</v>
      </c>
      <c r="T34" s="67">
        <v>-101</v>
      </c>
    </row>
    <row r="35" spans="1:20" ht="17.25" customHeight="1" x14ac:dyDescent="0.25">
      <c r="I35" t="s">
        <v>101</v>
      </c>
      <c r="N35" s="35">
        <v>7</v>
      </c>
      <c r="O35" s="35">
        <v>16</v>
      </c>
      <c r="P35" s="35">
        <v>8</v>
      </c>
      <c r="T35" s="35">
        <v>1</v>
      </c>
    </row>
    <row r="36" spans="1:20" ht="17.25" customHeight="1" x14ac:dyDescent="0.25">
      <c r="A36" t="s">
        <v>72</v>
      </c>
      <c r="D36" s="67">
        <v>-11718</v>
      </c>
      <c r="E36" s="67">
        <v>-2800550</v>
      </c>
      <c r="F36" s="35">
        <v>11890092</v>
      </c>
    </row>
    <row r="37" spans="1:20" ht="17.25" customHeight="1" x14ac:dyDescent="0.25">
      <c r="A37" t="s">
        <v>132</v>
      </c>
      <c r="D37" s="67">
        <v>-135452</v>
      </c>
      <c r="E37" s="67">
        <v>-311409</v>
      </c>
      <c r="F37" s="67">
        <v>-297163</v>
      </c>
      <c r="I37" s="66" t="s">
        <v>73</v>
      </c>
      <c r="N37" s="35">
        <v>49405</v>
      </c>
      <c r="O37" s="67">
        <v>-3560</v>
      </c>
      <c r="P37" s="35">
        <v>10380</v>
      </c>
      <c r="T37" s="35">
        <v>1507</v>
      </c>
    </row>
    <row r="38" spans="1:20" ht="17.25" customHeight="1" x14ac:dyDescent="0.25">
      <c r="A38" t="s">
        <v>133</v>
      </c>
      <c r="D38" s="67">
        <v>-5030</v>
      </c>
      <c r="E38" t="s">
        <v>67</v>
      </c>
      <c r="F38" t="s">
        <v>67</v>
      </c>
    </row>
    <row r="39" spans="1:20" ht="17.25" customHeight="1" x14ac:dyDescent="0.25">
      <c r="A39" t="s">
        <v>134</v>
      </c>
      <c r="D39" t="s">
        <v>67</v>
      </c>
      <c r="E39" s="35">
        <v>2492</v>
      </c>
      <c r="F39" s="35">
        <v>3100</v>
      </c>
    </row>
    <row r="40" spans="1:20" ht="17.25" customHeight="1" x14ac:dyDescent="0.25">
      <c r="A40" t="s">
        <v>135</v>
      </c>
      <c r="D40" s="35">
        <v>281021</v>
      </c>
      <c r="E40" t="s">
        <v>67</v>
      </c>
      <c r="F40" t="s">
        <v>67</v>
      </c>
    </row>
    <row r="41" spans="1:20" ht="17.25" customHeight="1" x14ac:dyDescent="0.25">
      <c r="H41" s="67">
        <f>D37+D38+D36</f>
        <v>-152200</v>
      </c>
    </row>
    <row r="42" spans="1:20" ht="17.25" customHeight="1" x14ac:dyDescent="0.25">
      <c r="A42" t="s">
        <v>73</v>
      </c>
      <c r="D42" s="67">
        <v>-152257</v>
      </c>
      <c r="E42" s="67">
        <v>-2491633</v>
      </c>
      <c r="F42" s="35">
        <v>12184155</v>
      </c>
    </row>
    <row r="43" spans="1:20" ht="17.25" customHeight="1" x14ac:dyDescent="0.25"/>
    <row r="44" spans="1:20" ht="17.25" customHeight="1" x14ac:dyDescent="0.25">
      <c r="A44" t="s">
        <v>136</v>
      </c>
      <c r="D44" s="67">
        <v>-269076</v>
      </c>
      <c r="E44" t="s">
        <v>67</v>
      </c>
      <c r="F44" t="s">
        <v>67</v>
      </c>
    </row>
    <row r="45" spans="1:20" ht="17.25" customHeight="1" x14ac:dyDescent="0.25"/>
    <row r="46" spans="1:20" ht="17.25" customHeight="1" x14ac:dyDescent="0.25">
      <c r="A46" t="s">
        <v>137</v>
      </c>
      <c r="D46" s="35">
        <v>116819</v>
      </c>
      <c r="E46" s="67">
        <v>-2491633</v>
      </c>
      <c r="F46" s="35">
        <v>12184155</v>
      </c>
    </row>
    <row r="47" spans="1:20" ht="17.25" customHeight="1" x14ac:dyDescent="0.25">
      <c r="A47" s="66" t="s">
        <v>84</v>
      </c>
      <c r="E47" s="68">
        <v>-1557539</v>
      </c>
      <c r="F47" s="68">
        <v>-1841401</v>
      </c>
      <c r="G47" s="68">
        <v>-1670227</v>
      </c>
      <c r="H47" s="66"/>
    </row>
  </sheetData>
  <mergeCells count="14">
    <mergeCell ref="U1:Z1"/>
    <mergeCell ref="Y4:AL4"/>
    <mergeCell ref="Y5:Z5"/>
    <mergeCell ref="AC5:AD5"/>
    <mergeCell ref="AG5:AL5"/>
    <mergeCell ref="M8:Z8"/>
    <mergeCell ref="AC6:AD6"/>
    <mergeCell ref="AG6:AH6"/>
    <mergeCell ref="AK6:AL6"/>
    <mergeCell ref="Y7:Z7"/>
    <mergeCell ref="AC7:AD7"/>
    <mergeCell ref="AG7:AH7"/>
    <mergeCell ref="AK7:AL7"/>
    <mergeCell ref="Y6:Z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1E35-6635-4EE1-9248-EF55D24947B3}">
  <dimension ref="A1:P78"/>
  <sheetViews>
    <sheetView topLeftCell="A55" workbookViewId="0">
      <selection activeCell="A65" sqref="A65"/>
    </sheetView>
  </sheetViews>
  <sheetFormatPr defaultRowHeight="15" x14ac:dyDescent="0.25"/>
  <cols>
    <col min="1" max="1" width="97.5703125" customWidth="1"/>
    <col min="4" max="6" width="19.5703125" customWidth="1"/>
  </cols>
  <sheetData>
    <row r="1" spans="1:16" ht="14.25" customHeight="1" x14ac:dyDescent="0.25"/>
    <row r="2" spans="1:16" ht="14.25" customHeight="1" x14ac:dyDescent="0.25">
      <c r="A2" s="73" t="s">
        <v>102</v>
      </c>
      <c r="B2" s="73"/>
      <c r="C2" s="73"/>
      <c r="D2" s="73"/>
      <c r="E2" s="73"/>
      <c r="F2" s="73"/>
    </row>
    <row r="3" spans="1:16" ht="14.25" customHeight="1" x14ac:dyDescent="0.25"/>
    <row r="4" spans="1:16" ht="14.25" customHeight="1" x14ac:dyDescent="0.25"/>
    <row r="5" spans="1:16" ht="14.25" customHeight="1" x14ac:dyDescent="0.25">
      <c r="C5" s="72" t="s">
        <v>59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</row>
    <row r="6" spans="1:16" ht="14.25" customHeight="1" x14ac:dyDescent="0.25">
      <c r="C6" s="72" t="s">
        <v>78</v>
      </c>
      <c r="D6" s="72"/>
      <c r="E6" s="66"/>
      <c r="G6" s="72" t="s">
        <v>79</v>
      </c>
      <c r="H6" s="72"/>
      <c r="I6" s="66"/>
      <c r="K6" s="72" t="s">
        <v>80</v>
      </c>
      <c r="L6" s="72"/>
      <c r="M6" s="72"/>
      <c r="N6" s="72"/>
      <c r="O6" s="72"/>
      <c r="P6" s="72"/>
    </row>
    <row r="7" spans="1:16" ht="14.25" customHeight="1" x14ac:dyDescent="0.25">
      <c r="C7" s="72" t="s">
        <v>63</v>
      </c>
      <c r="D7" s="72"/>
      <c r="E7" s="66"/>
      <c r="G7" s="72" t="s">
        <v>63</v>
      </c>
      <c r="H7" s="72"/>
      <c r="I7" s="66"/>
      <c r="K7" s="72" t="s">
        <v>63</v>
      </c>
      <c r="L7" s="72"/>
      <c r="M7" s="66"/>
      <c r="O7" s="72" t="s">
        <v>64</v>
      </c>
      <c r="P7" s="72"/>
    </row>
    <row r="8" spans="1:16" ht="14.25" customHeight="1" x14ac:dyDescent="0.25">
      <c r="C8" s="72"/>
      <c r="D8" s="72"/>
      <c r="E8" s="66"/>
      <c r="G8" s="72"/>
      <c r="H8" s="72"/>
      <c r="I8" s="66"/>
      <c r="K8" s="72"/>
      <c r="L8" s="72"/>
      <c r="M8" s="66"/>
      <c r="O8" s="72" t="s">
        <v>146</v>
      </c>
      <c r="P8" s="72"/>
    </row>
    <row r="9" spans="1:16" ht="14.25" customHeight="1" x14ac:dyDescent="0.25">
      <c r="A9" t="s">
        <v>103</v>
      </c>
      <c r="C9" s="66"/>
      <c r="E9" s="66"/>
      <c r="G9" s="66"/>
      <c r="I9" s="66"/>
      <c r="K9" s="66"/>
      <c r="M9" s="66"/>
      <c r="O9" s="66"/>
    </row>
    <row r="10" spans="1:16" ht="14.25" customHeight="1" x14ac:dyDescent="0.25">
      <c r="A10" t="s">
        <v>72</v>
      </c>
      <c r="D10" s="67">
        <v>-11718</v>
      </c>
      <c r="E10" s="67">
        <v>-2800550</v>
      </c>
      <c r="F10" s="35">
        <v>11890092</v>
      </c>
      <c r="J10" s="35">
        <v>1707904</v>
      </c>
    </row>
    <row r="11" spans="1:16" ht="14.25" customHeight="1" x14ac:dyDescent="0.25">
      <c r="A11" t="s">
        <v>147</v>
      </c>
      <c r="D11" s="67">
        <v>-6915</v>
      </c>
      <c r="E11" t="s">
        <v>67</v>
      </c>
      <c r="F11" t="s">
        <v>67</v>
      </c>
      <c r="J11" t="s">
        <v>67</v>
      </c>
    </row>
    <row r="12" spans="1:16" ht="14.25" customHeight="1" x14ac:dyDescent="0.25">
      <c r="A12" t="s">
        <v>104</v>
      </c>
    </row>
    <row r="13" spans="1:16" ht="14.25" customHeight="1" x14ac:dyDescent="0.25">
      <c r="A13" t="s">
        <v>105</v>
      </c>
      <c r="D13" s="35">
        <v>4192716</v>
      </c>
      <c r="E13" s="35">
        <v>5560034</v>
      </c>
      <c r="F13" s="35">
        <v>5828055</v>
      </c>
      <c r="J13" s="35">
        <v>837148</v>
      </c>
    </row>
    <row r="14" spans="1:16" ht="14.25" customHeight="1" x14ac:dyDescent="0.25">
      <c r="A14" t="s">
        <v>106</v>
      </c>
      <c r="D14" s="35">
        <v>2780062</v>
      </c>
      <c r="E14" s="35">
        <v>3659989</v>
      </c>
      <c r="F14" s="35">
        <v>3694955</v>
      </c>
      <c r="J14" s="35">
        <v>530746</v>
      </c>
    </row>
    <row r="15" spans="1:16" ht="14.25" customHeight="1" x14ac:dyDescent="0.25">
      <c r="A15" t="s">
        <v>148</v>
      </c>
      <c r="D15" s="35">
        <v>11591</v>
      </c>
      <c r="E15" s="67">
        <v>-11166</v>
      </c>
      <c r="F15" s="35">
        <v>65492</v>
      </c>
      <c r="J15" s="35">
        <v>9407</v>
      </c>
    </row>
    <row r="16" spans="1:16" ht="14.25" customHeight="1" x14ac:dyDescent="0.25">
      <c r="A16" t="s">
        <v>107</v>
      </c>
      <c r="D16" s="67">
        <v>-221010</v>
      </c>
      <c r="E16" s="67">
        <v>-10454</v>
      </c>
      <c r="F16" s="35">
        <v>533117</v>
      </c>
      <c r="J16" s="35">
        <v>76577</v>
      </c>
    </row>
    <row r="17" spans="1:10" ht="14.25" customHeight="1" x14ac:dyDescent="0.25">
      <c r="A17" t="s">
        <v>108</v>
      </c>
      <c r="D17" s="35">
        <v>13426</v>
      </c>
      <c r="E17" s="35">
        <v>13649</v>
      </c>
      <c r="F17" s="35">
        <v>14812</v>
      </c>
      <c r="J17" s="35">
        <v>2128</v>
      </c>
    </row>
    <row r="18" spans="1:10" ht="14.25" customHeight="1" x14ac:dyDescent="0.25">
      <c r="A18" t="s">
        <v>128</v>
      </c>
      <c r="D18" t="s">
        <v>67</v>
      </c>
      <c r="E18" s="35">
        <v>22317</v>
      </c>
      <c r="F18" t="s">
        <v>67</v>
      </c>
      <c r="J18" t="s">
        <v>67</v>
      </c>
    </row>
    <row r="19" spans="1:10" ht="14.25" customHeight="1" x14ac:dyDescent="0.25">
      <c r="A19" t="s">
        <v>109</v>
      </c>
      <c r="D19" s="35">
        <v>139823</v>
      </c>
      <c r="E19" s="35">
        <v>593138</v>
      </c>
      <c r="F19" s="35">
        <v>1954031</v>
      </c>
      <c r="J19" s="35">
        <v>280679</v>
      </c>
    </row>
    <row r="20" spans="1:10" ht="14.25" customHeight="1" x14ac:dyDescent="0.25">
      <c r="A20" t="s">
        <v>110</v>
      </c>
      <c r="D20" t="s">
        <v>67</v>
      </c>
      <c r="E20" s="35">
        <v>1512979</v>
      </c>
      <c r="F20" s="67">
        <v>-3495709</v>
      </c>
      <c r="J20" s="67">
        <v>-502127</v>
      </c>
    </row>
    <row r="21" spans="1:10" ht="14.25" customHeight="1" x14ac:dyDescent="0.25">
      <c r="A21" t="s">
        <v>149</v>
      </c>
      <c r="D21" s="67">
        <v>-74965</v>
      </c>
      <c r="E21" s="67">
        <v>-1320266</v>
      </c>
      <c r="F21" s="67">
        <v>-1199407</v>
      </c>
      <c r="J21" s="67">
        <v>-172284</v>
      </c>
    </row>
    <row r="22" spans="1:10" ht="14.25" customHeight="1" x14ac:dyDescent="0.25">
      <c r="A22" t="s">
        <v>150</v>
      </c>
      <c r="D22" t="s">
        <v>67</v>
      </c>
      <c r="E22" t="s">
        <v>67</v>
      </c>
      <c r="F22" s="67">
        <v>-3884709</v>
      </c>
      <c r="J22" s="67">
        <v>-558004</v>
      </c>
    </row>
    <row r="23" spans="1:10" ht="14.25" customHeight="1" x14ac:dyDescent="0.25">
      <c r="A23" t="s">
        <v>97</v>
      </c>
      <c r="D23" s="35">
        <v>1926720</v>
      </c>
      <c r="E23" s="35">
        <v>1113105</v>
      </c>
      <c r="F23" s="35">
        <v>1738219</v>
      </c>
      <c r="J23" s="35">
        <v>249680</v>
      </c>
    </row>
    <row r="24" spans="1:10" ht="14.25" customHeight="1" x14ac:dyDescent="0.25">
      <c r="A24" t="s">
        <v>111</v>
      </c>
      <c r="D24" s="67">
        <v>-213482</v>
      </c>
      <c r="E24" s="35">
        <v>192491</v>
      </c>
      <c r="F24" s="67">
        <v>-124070</v>
      </c>
      <c r="J24" s="67">
        <v>-17822</v>
      </c>
    </row>
    <row r="25" spans="1:10" ht="14.25" customHeight="1" x14ac:dyDescent="0.25">
      <c r="A25" t="s">
        <v>112</v>
      </c>
    </row>
    <row r="26" spans="1:10" ht="14.25" customHeight="1" x14ac:dyDescent="0.25">
      <c r="A26" t="s">
        <v>113</v>
      </c>
      <c r="D26" s="67">
        <v>-545991</v>
      </c>
      <c r="E26" s="35">
        <v>4287004</v>
      </c>
      <c r="F26" s="35">
        <v>3936793</v>
      </c>
      <c r="J26" s="35">
        <v>565485</v>
      </c>
    </row>
    <row r="27" spans="1:10" ht="14.25" customHeight="1" x14ac:dyDescent="0.25">
      <c r="A27" t="s">
        <v>115</v>
      </c>
      <c r="D27" s="67">
        <v>-12788337</v>
      </c>
      <c r="E27" s="67">
        <v>-2342058</v>
      </c>
      <c r="F27" s="67">
        <v>-13915610</v>
      </c>
      <c r="J27" s="67">
        <v>-1998852</v>
      </c>
    </row>
    <row r="28" spans="1:10" ht="14.25" customHeight="1" x14ac:dyDescent="0.25">
      <c r="A28" t="s">
        <v>114</v>
      </c>
      <c r="D28" s="67">
        <v>-137457</v>
      </c>
      <c r="E28" s="67">
        <v>-75370</v>
      </c>
      <c r="F28" s="67">
        <v>-127812</v>
      </c>
      <c r="J28" s="67">
        <v>-18359</v>
      </c>
    </row>
    <row r="29" spans="1:10" ht="14.25" customHeight="1" x14ac:dyDescent="0.25">
      <c r="A29" t="s">
        <v>116</v>
      </c>
      <c r="D29" s="67">
        <v>-328041</v>
      </c>
      <c r="E29" s="67">
        <v>-899139</v>
      </c>
      <c r="F29" s="35">
        <v>486067</v>
      </c>
      <c r="J29" s="35">
        <v>69819</v>
      </c>
    </row>
    <row r="30" spans="1:10" ht="14.25" customHeight="1" x14ac:dyDescent="0.25">
      <c r="A30" t="s">
        <v>151</v>
      </c>
      <c r="D30" t="s">
        <v>67</v>
      </c>
      <c r="E30" t="s">
        <v>67</v>
      </c>
      <c r="F30" s="67">
        <v>-1407345</v>
      </c>
      <c r="J30" s="67">
        <v>-202152</v>
      </c>
    </row>
    <row r="31" spans="1:10" ht="14.25" customHeight="1" x14ac:dyDescent="0.25">
      <c r="A31" t="s">
        <v>117</v>
      </c>
      <c r="D31" s="35">
        <v>2456933</v>
      </c>
      <c r="E31" s="35">
        <v>1769930</v>
      </c>
      <c r="F31" s="67">
        <v>-1500728</v>
      </c>
      <c r="J31" s="67">
        <v>-215566</v>
      </c>
    </row>
    <row r="32" spans="1:10" ht="14.25" customHeight="1" x14ac:dyDescent="0.25">
      <c r="A32" t="s">
        <v>126</v>
      </c>
      <c r="D32" s="67">
        <v>-372576</v>
      </c>
      <c r="E32" s="35">
        <v>44990</v>
      </c>
      <c r="F32" s="67">
        <v>-408937</v>
      </c>
      <c r="J32" s="67">
        <v>-58740</v>
      </c>
    </row>
    <row r="33" spans="1:10" ht="14.25" customHeight="1" x14ac:dyDescent="0.25">
      <c r="A33" t="s">
        <v>118</v>
      </c>
      <c r="D33" s="35">
        <v>26106191</v>
      </c>
      <c r="E33" s="35">
        <v>5466698</v>
      </c>
      <c r="F33" s="35">
        <v>10391341</v>
      </c>
      <c r="J33" s="35">
        <v>1492623</v>
      </c>
    </row>
    <row r="34" spans="1:10" ht="14.25" customHeight="1" x14ac:dyDescent="0.25">
      <c r="A34" t="s">
        <v>119</v>
      </c>
      <c r="D34" s="35">
        <v>2138964</v>
      </c>
      <c r="E34" s="67">
        <v>-745854</v>
      </c>
      <c r="F34" s="35">
        <v>3061018</v>
      </c>
      <c r="J34" s="35">
        <v>439688</v>
      </c>
    </row>
    <row r="35" spans="1:10" ht="14.25" customHeight="1" x14ac:dyDescent="0.25">
      <c r="A35" t="s">
        <v>120</v>
      </c>
      <c r="D35" s="67">
        <v>-374042</v>
      </c>
      <c r="E35" s="67">
        <v>-603464</v>
      </c>
      <c r="F35" s="35">
        <v>454780</v>
      </c>
      <c r="J35" s="35">
        <v>65325</v>
      </c>
    </row>
    <row r="36" spans="1:10" ht="14.25" customHeight="1" x14ac:dyDescent="0.25">
      <c r="A36" t="s">
        <v>121</v>
      </c>
      <c r="D36" s="35">
        <v>92932</v>
      </c>
      <c r="E36" s="35">
        <v>166120</v>
      </c>
      <c r="F36" s="35">
        <v>722781</v>
      </c>
      <c r="J36" s="35">
        <v>103821</v>
      </c>
    </row>
    <row r="37" spans="1:10" ht="14.25" customHeight="1" x14ac:dyDescent="0.25">
      <c r="A37" t="s">
        <v>123</v>
      </c>
      <c r="D37" s="35">
        <v>4624014</v>
      </c>
      <c r="E37" s="35">
        <v>5158390</v>
      </c>
      <c r="F37" s="35">
        <v>4417646</v>
      </c>
      <c r="J37" s="35">
        <v>634557</v>
      </c>
    </row>
    <row r="38" spans="1:10" ht="14.25" customHeight="1" x14ac:dyDescent="0.25">
      <c r="A38" t="s">
        <v>124</v>
      </c>
      <c r="D38" t="s">
        <v>67</v>
      </c>
      <c r="E38" t="s">
        <v>67</v>
      </c>
      <c r="F38" s="35">
        <v>1521635</v>
      </c>
      <c r="J38" s="35">
        <v>218569</v>
      </c>
    </row>
    <row r="39" spans="1:10" ht="14.25" customHeight="1" x14ac:dyDescent="0.25">
      <c r="A39" t="s">
        <v>122</v>
      </c>
      <c r="D39" s="67">
        <v>-66370</v>
      </c>
      <c r="E39" s="35">
        <v>128909</v>
      </c>
      <c r="F39" s="35">
        <v>134713</v>
      </c>
      <c r="J39" s="35">
        <v>19350</v>
      </c>
    </row>
    <row r="40" spans="1:10" ht="14.25" customHeight="1" x14ac:dyDescent="0.25"/>
    <row r="41" spans="1:10" ht="14.25" customHeight="1" x14ac:dyDescent="0.25">
      <c r="A41" t="s">
        <v>152</v>
      </c>
      <c r="D41" s="35">
        <v>29342468</v>
      </c>
      <c r="E41" s="35">
        <v>20881422</v>
      </c>
      <c r="F41" s="35">
        <v>24781220</v>
      </c>
      <c r="J41" s="35">
        <v>3559600</v>
      </c>
    </row>
    <row r="42" spans="1:10" ht="14.25" customHeight="1" x14ac:dyDescent="0.25">
      <c r="A42" t="s">
        <v>153</v>
      </c>
      <c r="D42" s="67">
        <v>-2485741</v>
      </c>
      <c r="E42" t="s">
        <v>67</v>
      </c>
      <c r="F42" t="s">
        <v>67</v>
      </c>
      <c r="J42" t="s">
        <v>67</v>
      </c>
    </row>
    <row r="43" spans="1:10" ht="14.25" customHeight="1" x14ac:dyDescent="0.25"/>
    <row r="44" spans="1:10" ht="14.25" customHeight="1" x14ac:dyDescent="0.25">
      <c r="A44" t="s">
        <v>125</v>
      </c>
      <c r="D44" s="35">
        <v>26856727</v>
      </c>
      <c r="E44" s="35">
        <v>20881422</v>
      </c>
      <c r="F44" s="35">
        <v>24781220</v>
      </c>
      <c r="J44" s="35">
        <v>3559600</v>
      </c>
    </row>
    <row r="45" spans="1:10" ht="14.25" customHeight="1" x14ac:dyDescent="0.25"/>
    <row r="46" spans="1:10" ht="14.25" customHeight="1" x14ac:dyDescent="0.25"/>
    <row r="47" spans="1:10" ht="14.25" customHeight="1" x14ac:dyDescent="0.25"/>
    <row r="48" spans="1:10" ht="14.25" customHeight="1" x14ac:dyDescent="0.25"/>
    <row r="49" spans="1:10" ht="14.25" customHeight="1" x14ac:dyDescent="0.25">
      <c r="A49" s="66" t="s">
        <v>102</v>
      </c>
      <c r="B49" s="66"/>
      <c r="C49" s="66"/>
      <c r="D49" s="66"/>
    </row>
    <row r="50" spans="1:10" ht="14.25" customHeight="1" x14ac:dyDescent="0.25"/>
    <row r="51" spans="1:10" ht="14.25" customHeight="1" x14ac:dyDescent="0.25"/>
    <row r="52" spans="1:10" ht="14.25" customHeight="1" x14ac:dyDescent="0.25">
      <c r="C52" t="s">
        <v>59</v>
      </c>
    </row>
    <row r="53" spans="1:10" ht="14.25" customHeight="1" x14ac:dyDescent="0.25">
      <c r="C53" t="s">
        <v>78</v>
      </c>
    </row>
    <row r="54" spans="1:10" ht="14.25" customHeight="1" x14ac:dyDescent="0.25">
      <c r="C54" t="s">
        <v>63</v>
      </c>
      <c r="G54" s="66"/>
      <c r="I54" t="s">
        <v>64</v>
      </c>
    </row>
    <row r="55" spans="1:10" ht="14.25" customHeight="1" x14ac:dyDescent="0.25">
      <c r="G55" s="66"/>
      <c r="I55" t="s">
        <v>146</v>
      </c>
    </row>
    <row r="56" spans="1:10" ht="14.25" customHeight="1" x14ac:dyDescent="0.25">
      <c r="A56" t="s">
        <v>74</v>
      </c>
      <c r="C56" s="66"/>
      <c r="G56" s="66"/>
      <c r="I56" s="66"/>
    </row>
    <row r="57" spans="1:10" ht="14.25" customHeight="1" x14ac:dyDescent="0.25">
      <c r="A57" t="s">
        <v>75</v>
      </c>
      <c r="D57" s="67">
        <v>-9288743</v>
      </c>
      <c r="E57" s="67">
        <v>-2518000</v>
      </c>
      <c r="F57" s="67">
        <v>-24501345</v>
      </c>
      <c r="J57" s="67">
        <v>-3519398</v>
      </c>
    </row>
    <row r="58" spans="1:10" ht="14.25" customHeight="1" x14ac:dyDescent="0.25">
      <c r="A58" t="s">
        <v>76</v>
      </c>
      <c r="D58" s="35">
        <v>7211608</v>
      </c>
      <c r="E58" s="35">
        <v>9053087</v>
      </c>
      <c r="F58" s="35">
        <v>2018324</v>
      </c>
      <c r="J58" s="35">
        <v>289914</v>
      </c>
    </row>
    <row r="59" spans="1:10" x14ac:dyDescent="0.25">
      <c r="A59" t="s">
        <v>138</v>
      </c>
      <c r="D59" s="67">
        <v>-7824277</v>
      </c>
      <c r="E59" s="67">
        <v>-4562283</v>
      </c>
      <c r="F59" s="67">
        <v>-770818</v>
      </c>
      <c r="J59" s="67">
        <v>-110721</v>
      </c>
    </row>
    <row r="60" spans="1:10" x14ac:dyDescent="0.25">
      <c r="A60" t="s">
        <v>139</v>
      </c>
      <c r="D60" t="s">
        <v>67</v>
      </c>
      <c r="E60" s="35">
        <v>317975</v>
      </c>
      <c r="F60" s="35">
        <v>1009088</v>
      </c>
      <c r="J60" s="35">
        <v>144946</v>
      </c>
    </row>
    <row r="61" spans="1:10" x14ac:dyDescent="0.25">
      <c r="A61" t="s">
        <v>154</v>
      </c>
      <c r="D61" s="67">
        <v>-6207880</v>
      </c>
      <c r="E61" s="67">
        <v>-17398204</v>
      </c>
      <c r="F61" s="67">
        <v>-10508432</v>
      </c>
      <c r="J61" s="67">
        <v>-1509442</v>
      </c>
    </row>
    <row r="62" spans="1:10" x14ac:dyDescent="0.25">
      <c r="A62" t="s">
        <v>155</v>
      </c>
      <c r="D62" s="35">
        <v>202774</v>
      </c>
      <c r="E62" s="35">
        <v>1606338</v>
      </c>
      <c r="F62" s="35">
        <v>3606308</v>
      </c>
      <c r="J62" s="35">
        <v>518014</v>
      </c>
    </row>
    <row r="63" spans="1:10" x14ac:dyDescent="0.25">
      <c r="A63" t="s">
        <v>140</v>
      </c>
      <c r="D63" s="67">
        <v>-24379691</v>
      </c>
      <c r="E63" s="67">
        <v>-36432214</v>
      </c>
      <c r="F63" s="67">
        <v>-43560458</v>
      </c>
      <c r="J63" s="67">
        <v>-6257068</v>
      </c>
    </row>
    <row r="64" spans="1:10" x14ac:dyDescent="0.25">
      <c r="A64" t="s">
        <v>141</v>
      </c>
      <c r="D64" s="35">
        <v>23019358</v>
      </c>
      <c r="E64" s="35">
        <v>38984140</v>
      </c>
      <c r="F64" s="35">
        <v>44592432</v>
      </c>
      <c r="J64" s="35">
        <v>6405302</v>
      </c>
    </row>
    <row r="65" spans="1:10" x14ac:dyDescent="0.25">
      <c r="A65" t="s">
        <v>142</v>
      </c>
      <c r="D65" s="67">
        <v>-3294286</v>
      </c>
      <c r="E65" s="67">
        <v>-9743453</v>
      </c>
      <c r="F65" s="67">
        <v>-2597069</v>
      </c>
      <c r="J65" s="67">
        <v>-373045</v>
      </c>
    </row>
    <row r="66" spans="1:10" x14ac:dyDescent="0.25">
      <c r="A66" t="s">
        <v>143</v>
      </c>
      <c r="D66" s="67">
        <v>-8774</v>
      </c>
      <c r="E66" s="67">
        <v>-130797</v>
      </c>
      <c r="F66" s="67">
        <v>-41449</v>
      </c>
      <c r="J66" s="67">
        <v>-5954</v>
      </c>
    </row>
    <row r="67" spans="1:10" x14ac:dyDescent="0.25">
      <c r="A67" t="s">
        <v>144</v>
      </c>
      <c r="D67" s="67">
        <v>-4785538</v>
      </c>
      <c r="E67" s="67">
        <v>-4136305</v>
      </c>
      <c r="F67" s="67">
        <v>-1039106</v>
      </c>
      <c r="J67" s="67">
        <v>-149258</v>
      </c>
    </row>
    <row r="68" spans="1:10" x14ac:dyDescent="0.25">
      <c r="A68" t="s">
        <v>145</v>
      </c>
      <c r="D68" s="67">
        <v>-3267277</v>
      </c>
      <c r="E68" s="67">
        <v>-7358939</v>
      </c>
      <c r="F68" s="67">
        <v>-5321968</v>
      </c>
      <c r="J68" s="67">
        <v>-764453</v>
      </c>
    </row>
    <row r="69" spans="1:10" x14ac:dyDescent="0.25">
      <c r="A69" t="s">
        <v>156</v>
      </c>
      <c r="D69" t="s">
        <v>67</v>
      </c>
      <c r="E69" t="s">
        <v>67</v>
      </c>
      <c r="F69" s="35">
        <v>7905251</v>
      </c>
      <c r="J69" s="35">
        <v>1135518</v>
      </c>
    </row>
    <row r="70" spans="1:10" x14ac:dyDescent="0.25">
      <c r="A70" t="s">
        <v>157</v>
      </c>
      <c r="D70" s="67">
        <v>-160658</v>
      </c>
      <c r="E70" s="67">
        <v>-19578</v>
      </c>
      <c r="F70" s="67">
        <v>-41380</v>
      </c>
      <c r="J70" s="67">
        <v>-5944</v>
      </c>
    </row>
    <row r="71" spans="1:10" x14ac:dyDescent="0.25">
      <c r="A71" t="s">
        <v>158</v>
      </c>
      <c r="D71" s="67">
        <v>-6187891</v>
      </c>
      <c r="E71" s="35">
        <v>6259241</v>
      </c>
      <c r="F71" s="35">
        <v>4148796</v>
      </c>
      <c r="J71" s="35">
        <v>595937</v>
      </c>
    </row>
    <row r="72" spans="1:10" x14ac:dyDescent="0.25">
      <c r="A72" t="s">
        <v>159</v>
      </c>
      <c r="D72" s="35">
        <v>13027155</v>
      </c>
      <c r="E72" t="s">
        <v>67</v>
      </c>
      <c r="F72" t="s">
        <v>67</v>
      </c>
      <c r="J72" t="s">
        <v>67</v>
      </c>
    </row>
    <row r="73" spans="1:10" x14ac:dyDescent="0.25">
      <c r="A73" t="s">
        <v>77</v>
      </c>
      <c r="D73" t="s">
        <v>67</v>
      </c>
      <c r="E73" t="s">
        <v>67</v>
      </c>
      <c r="F73" s="67">
        <v>-247531</v>
      </c>
      <c r="J73" s="67">
        <v>-35556</v>
      </c>
    </row>
    <row r="75" spans="1:10" x14ac:dyDescent="0.25">
      <c r="A75" t="s">
        <v>160</v>
      </c>
      <c r="D75" s="67">
        <v>-21944120</v>
      </c>
      <c r="E75" s="67">
        <v>-26078992</v>
      </c>
      <c r="F75" s="67">
        <v>-25349357</v>
      </c>
      <c r="J75" s="67">
        <v>-3641208</v>
      </c>
    </row>
    <row r="76" spans="1:10" x14ac:dyDescent="0.25">
      <c r="A76" t="s">
        <v>161</v>
      </c>
      <c r="D76" s="67">
        <v>-17871171</v>
      </c>
      <c r="E76" t="s">
        <v>67</v>
      </c>
      <c r="F76" t="s">
        <v>67</v>
      </c>
      <c r="J76" t="s">
        <v>67</v>
      </c>
    </row>
    <row r="78" spans="1:10" x14ac:dyDescent="0.25">
      <c r="A78" t="s">
        <v>127</v>
      </c>
      <c r="D78" s="67">
        <v>-39815291</v>
      </c>
      <c r="E78" s="67">
        <v>-26078992</v>
      </c>
      <c r="F78" s="67">
        <v>-25349357</v>
      </c>
      <c r="J78" s="67">
        <v>-3641208</v>
      </c>
    </row>
  </sheetData>
  <mergeCells count="13">
    <mergeCell ref="A2:F2"/>
    <mergeCell ref="C6:D6"/>
    <mergeCell ref="G6:H6"/>
    <mergeCell ref="C7:D7"/>
    <mergeCell ref="G7:H7"/>
    <mergeCell ref="O8:P8"/>
    <mergeCell ref="C5:P5"/>
    <mergeCell ref="K6:P6"/>
    <mergeCell ref="K7:L7"/>
    <mergeCell ref="O7:P7"/>
    <mergeCell ref="K8:L8"/>
    <mergeCell ref="C8:D8"/>
    <mergeCell ref="G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F8" sqref="F8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8" t="s">
        <v>1</v>
      </c>
      <c r="C2" s="2"/>
      <c r="D2" s="2"/>
      <c r="E2" s="2"/>
      <c r="F2" s="2"/>
      <c r="G2" s="2"/>
      <c r="H2" s="2"/>
      <c r="I2" s="2"/>
      <c r="J2" s="2"/>
      <c r="K2" s="2"/>
      <c r="L2" s="39"/>
    </row>
    <row r="3" spans="1:14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2"/>
    </row>
    <row r="4" spans="1:14" x14ac:dyDescent="0.25">
      <c r="A4" s="41" t="s">
        <v>45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46</v>
      </c>
      <c r="C6" s="2"/>
      <c r="D6" s="42">
        <v>0.15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47</v>
      </c>
      <c r="C7" s="2"/>
      <c r="D7" s="42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48</v>
      </c>
      <c r="C8" s="2"/>
      <c r="D8" s="43">
        <v>1.4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49</v>
      </c>
      <c r="C9" s="2"/>
      <c r="D9" s="42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5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39</v>
      </c>
      <c r="B12" s="2"/>
      <c r="C12" s="21">
        <f>'JD DCF'!D69</f>
        <v>55472</v>
      </c>
      <c r="D12" s="2"/>
      <c r="E12" s="2" t="s">
        <v>38</v>
      </c>
      <c r="F12" s="2"/>
      <c r="G12" s="21">
        <f>'JD DCF'!D66/'JD DCF'!D71</f>
        <v>14310.445682451254</v>
      </c>
      <c r="H12" s="2"/>
      <c r="I12" s="2" t="s">
        <v>50</v>
      </c>
      <c r="J12" s="2"/>
      <c r="K12" s="21">
        <f>G12+C12</f>
        <v>69782.44568245126</v>
      </c>
      <c r="L12" s="2"/>
    </row>
    <row r="13" spans="1:14" x14ac:dyDescent="0.25">
      <c r="A13" s="2" t="s">
        <v>51</v>
      </c>
      <c r="B13" s="2"/>
      <c r="C13" s="44">
        <f>C12/K12</f>
        <v>0.79492771366065751</v>
      </c>
      <c r="D13" s="2"/>
      <c r="E13" s="2" t="s">
        <v>52</v>
      </c>
      <c r="F13" s="2"/>
      <c r="G13" s="45">
        <f>G12/K12</f>
        <v>0.20507228633934244</v>
      </c>
      <c r="H13" s="2"/>
      <c r="I13" s="2"/>
      <c r="J13" s="2"/>
      <c r="K13" s="2"/>
      <c r="L13" s="2"/>
      <c r="M13" s="35"/>
    </row>
    <row r="14" spans="1:14" x14ac:dyDescent="0.25">
      <c r="A14" s="2" t="s">
        <v>53</v>
      </c>
      <c r="B14" s="2"/>
      <c r="C14" s="46">
        <f>D7+D8*(D9)</f>
        <v>0.121</v>
      </c>
      <c r="D14" s="2"/>
      <c r="E14" s="2" t="s">
        <v>54</v>
      </c>
      <c r="F14" s="2"/>
      <c r="G14" s="47">
        <v>5.3999999999999999E-2</v>
      </c>
      <c r="H14" s="2"/>
      <c r="I14" s="48" t="s">
        <v>1</v>
      </c>
      <c r="J14" s="49"/>
      <c r="K14" s="50">
        <f>C13*C14+G14*G13*(1-D6)</f>
        <v>0.10559907129591536</v>
      </c>
      <c r="L14" s="2"/>
    </row>
    <row r="15" spans="1:14" x14ac:dyDescent="0.25">
      <c r="D15" s="35"/>
      <c r="G15" s="35"/>
      <c r="J15" s="35"/>
      <c r="M15" s="35"/>
    </row>
    <row r="16" spans="1:14" x14ac:dyDescent="0.25">
      <c r="A16" t="s">
        <v>44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</row>
    <row r="17" spans="4:13" x14ac:dyDescent="0.25">
      <c r="D17" s="35"/>
      <c r="G17" s="35"/>
      <c r="J17" s="35"/>
      <c r="M17" s="35"/>
    </row>
    <row r="21" spans="4:13" x14ac:dyDescent="0.25">
      <c r="D21" s="35"/>
      <c r="E21" s="35"/>
      <c r="F21" s="35"/>
      <c r="G21" s="35"/>
      <c r="H21" s="35"/>
      <c r="I21" s="35"/>
      <c r="J21" s="35"/>
      <c r="K21" s="35"/>
      <c r="L21" s="35"/>
      <c r="M21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JD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2023-06-28T16:24:20Z</dcterms:modified>
</cp:coreProperties>
</file>