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33FFD484-B418-44C1-AE6C-AAA4FAF3E03D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AMD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G12" i="2"/>
  <c r="H61" i="1"/>
  <c r="H45" i="1"/>
  <c r="F45" i="1"/>
  <c r="D45" i="1"/>
  <c r="E45" i="1"/>
  <c r="G45" i="1"/>
  <c r="C45" i="1"/>
  <c r="H35" i="1"/>
  <c r="C59" i="1"/>
  <c r="D59" i="1"/>
  <c r="E59" i="1"/>
  <c r="F59" i="1"/>
  <c r="G59" i="1"/>
  <c r="C39" i="1"/>
  <c r="D39" i="1"/>
  <c r="E39" i="1"/>
  <c r="F39" i="1"/>
  <c r="G39" i="1"/>
  <c r="C37" i="1"/>
  <c r="D37" i="1"/>
  <c r="E37" i="1"/>
  <c r="F37" i="1"/>
  <c r="F41" i="1" s="1"/>
  <c r="F57" i="1" s="1"/>
  <c r="G37" i="1"/>
  <c r="C34" i="1"/>
  <c r="D34" i="1"/>
  <c r="E34" i="1"/>
  <c r="F34" i="1"/>
  <c r="G34" i="1"/>
  <c r="H59" i="1"/>
  <c r="H39" i="1"/>
  <c r="H34" i="1"/>
  <c r="H37" i="1"/>
  <c r="L68" i="1"/>
  <c r="L67" i="1" s="1"/>
  <c r="D71" i="1"/>
  <c r="C12" i="2" s="1"/>
  <c r="L70" i="1"/>
  <c r="L71" i="1" s="1"/>
  <c r="D32" i="1" l="1"/>
  <c r="E32" i="1"/>
  <c r="F32" i="1"/>
  <c r="G32" i="1"/>
  <c r="H32" i="1"/>
  <c r="C32" i="1"/>
  <c r="D29" i="1"/>
  <c r="E29" i="1"/>
  <c r="F29" i="1"/>
  <c r="G29" i="1"/>
  <c r="H29" i="1"/>
  <c r="C29" i="1"/>
  <c r="E26" i="1"/>
  <c r="G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I11" i="1"/>
  <c r="C14" i="2"/>
  <c r="F52" i="1"/>
  <c r="G52" i="1"/>
  <c r="H52" i="1"/>
  <c r="E52" i="1"/>
  <c r="D52" i="1"/>
  <c r="C52" i="1"/>
  <c r="D49" i="1"/>
  <c r="C49" i="1"/>
  <c r="F49" i="1"/>
  <c r="H49" i="1"/>
  <c r="F35" i="1"/>
  <c r="D35" i="1"/>
  <c r="D26" i="1"/>
  <c r="G55" i="1"/>
  <c r="H55" i="1"/>
  <c r="G49" i="1"/>
  <c r="F26" i="1"/>
  <c r="H26" i="1"/>
  <c r="G16" i="1"/>
  <c r="G17" i="1" s="1"/>
  <c r="F16" i="1"/>
  <c r="H16" i="1"/>
  <c r="E55" i="1"/>
  <c r="D55" i="1"/>
  <c r="C55" i="1"/>
  <c r="E49" i="1"/>
  <c r="D47" i="1"/>
  <c r="E47" i="1" s="1"/>
  <c r="E16" i="1"/>
  <c r="E17" i="1" s="1"/>
  <c r="D16" i="1"/>
  <c r="C16" i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I31" i="1" l="1"/>
  <c r="I19" i="1"/>
  <c r="I22" i="1"/>
  <c r="I25" i="1"/>
  <c r="I28" i="1"/>
  <c r="I48" i="1"/>
  <c r="J11" i="1"/>
  <c r="J48" i="1" s="1"/>
  <c r="C17" i="1"/>
  <c r="I41" i="1"/>
  <c r="I44" i="1" s="1"/>
  <c r="I51" i="1"/>
  <c r="I54" i="1"/>
  <c r="F55" i="1"/>
  <c r="K12" i="2"/>
  <c r="I16" i="1"/>
  <c r="D17" i="1"/>
  <c r="H17" i="1"/>
  <c r="F17" i="1"/>
  <c r="C35" i="1"/>
  <c r="E35" i="1"/>
  <c r="G35" i="1"/>
  <c r="I34" i="1" l="1"/>
  <c r="I37" i="1"/>
  <c r="I39" i="1" s="1"/>
  <c r="D41" i="1"/>
  <c r="D57" i="1" s="1"/>
  <c r="D61" i="1" s="1"/>
  <c r="K11" i="1"/>
  <c r="K31" i="1" s="1"/>
  <c r="J31" i="1"/>
  <c r="J25" i="1"/>
  <c r="J22" i="1"/>
  <c r="J19" i="1"/>
  <c r="J28" i="1"/>
  <c r="K51" i="1"/>
  <c r="I35" i="1"/>
  <c r="J51" i="1"/>
  <c r="H41" i="1"/>
  <c r="I14" i="1"/>
  <c r="I57" i="1"/>
  <c r="I61" i="1" s="1"/>
  <c r="C13" i="2"/>
  <c r="G13" i="2"/>
  <c r="G41" i="1"/>
  <c r="G57" i="1" s="1"/>
  <c r="E41" i="1"/>
  <c r="C41" i="1"/>
  <c r="J41" i="1"/>
  <c r="J54" i="1"/>
  <c r="J16" i="1"/>
  <c r="K28" i="1" l="1"/>
  <c r="K25" i="1"/>
  <c r="J34" i="1"/>
  <c r="J35" i="1" s="1"/>
  <c r="J37" i="1"/>
  <c r="J39" i="1" s="1"/>
  <c r="K48" i="1"/>
  <c r="K19" i="1"/>
  <c r="K22" i="1"/>
  <c r="I59" i="1"/>
  <c r="D42" i="1"/>
  <c r="E57" i="1"/>
  <c r="E61" i="1" s="1"/>
  <c r="C57" i="1"/>
  <c r="C61" i="1" s="1"/>
  <c r="H57" i="1"/>
  <c r="F61" i="1"/>
  <c r="J44" i="1"/>
  <c r="J57" i="1" s="1"/>
  <c r="J61" i="1" s="1"/>
  <c r="F42" i="1"/>
  <c r="I62" i="1"/>
  <c r="H42" i="1"/>
  <c r="G61" i="1"/>
  <c r="K14" i="2"/>
  <c r="J14" i="1"/>
  <c r="K16" i="1"/>
  <c r="L11" i="1"/>
  <c r="K41" i="1"/>
  <c r="G42" i="1"/>
  <c r="C42" i="1"/>
  <c r="E42" i="1"/>
  <c r="K54" i="1"/>
  <c r="K14" i="1" l="1"/>
  <c r="K37" i="1"/>
  <c r="K39" i="1" s="1"/>
  <c r="K34" i="1"/>
  <c r="K35" i="1" s="1"/>
  <c r="L25" i="1"/>
  <c r="L22" i="1"/>
  <c r="L19" i="1"/>
  <c r="L28" i="1"/>
  <c r="L31" i="1"/>
  <c r="K44" i="1"/>
  <c r="K57" i="1" s="1"/>
  <c r="K61" i="1" s="1"/>
  <c r="L54" i="1"/>
  <c r="L51" i="1"/>
  <c r="L48" i="1"/>
  <c r="J62" i="1"/>
  <c r="L41" i="1"/>
  <c r="L16" i="1"/>
  <c r="M11" i="1"/>
  <c r="L34" i="1" l="1"/>
  <c r="L37" i="1"/>
  <c r="L39" i="1" s="1"/>
  <c r="L35" i="1"/>
  <c r="M31" i="1"/>
  <c r="M25" i="1"/>
  <c r="M22" i="1"/>
  <c r="M19" i="1"/>
  <c r="M28" i="1"/>
  <c r="L44" i="1"/>
  <c r="L57" i="1" s="1"/>
  <c r="L61" i="1" s="1"/>
  <c r="M51" i="1"/>
  <c r="M48" i="1"/>
  <c r="K62" i="1"/>
  <c r="L14" i="1"/>
  <c r="M41" i="1"/>
  <c r="M16" i="1"/>
  <c r="N11" i="1"/>
  <c r="M54" i="1"/>
  <c r="M34" i="1" l="1"/>
  <c r="M35" i="1" s="1"/>
  <c r="M14" i="1"/>
  <c r="M37" i="1"/>
  <c r="M39" i="1" s="1"/>
  <c r="N25" i="1"/>
  <c r="N22" i="1"/>
  <c r="N19" i="1"/>
  <c r="N34" i="1" s="1"/>
  <c r="N28" i="1"/>
  <c r="N31" i="1"/>
  <c r="M44" i="1"/>
  <c r="M57" i="1" s="1"/>
  <c r="M61" i="1" s="1"/>
  <c r="N54" i="1"/>
  <c r="N51" i="1"/>
  <c r="N48" i="1"/>
  <c r="L62" i="1"/>
  <c r="N41" i="1"/>
  <c r="N16" i="1"/>
  <c r="O11" i="1"/>
  <c r="N14" i="1"/>
  <c r="N37" i="1" l="1"/>
  <c r="N39" i="1" s="1"/>
  <c r="N35" i="1"/>
  <c r="O31" i="1"/>
  <c r="O25" i="1"/>
  <c r="O22" i="1"/>
  <c r="O19" i="1"/>
  <c r="O28" i="1"/>
  <c r="N44" i="1"/>
  <c r="N57" i="1" s="1"/>
  <c r="N61" i="1" s="1"/>
  <c r="O51" i="1"/>
  <c r="O48" i="1"/>
  <c r="M62" i="1"/>
  <c r="O16" i="1"/>
  <c r="P11" i="1"/>
  <c r="O41" i="1"/>
  <c r="O54" i="1"/>
  <c r="O34" i="1" l="1"/>
  <c r="O14" i="1"/>
  <c r="O37" i="1"/>
  <c r="O39" i="1" s="1"/>
  <c r="O35" i="1"/>
  <c r="P25" i="1"/>
  <c r="P22" i="1"/>
  <c r="P19" i="1"/>
  <c r="P28" i="1"/>
  <c r="P31" i="1"/>
  <c r="O44" i="1"/>
  <c r="O57" i="1" s="1"/>
  <c r="O61" i="1" s="1"/>
  <c r="P51" i="1"/>
  <c r="P48" i="1"/>
  <c r="N62" i="1"/>
  <c r="P41" i="1"/>
  <c r="P16" i="1"/>
  <c r="Q11" i="1"/>
  <c r="P54" i="1"/>
  <c r="P37" i="1" l="1"/>
  <c r="P39" i="1" s="1"/>
  <c r="P34" i="1"/>
  <c r="P35" i="1" s="1"/>
  <c r="Q31" i="1"/>
  <c r="Q25" i="1"/>
  <c r="Q22" i="1"/>
  <c r="Q19" i="1"/>
  <c r="Q28" i="1"/>
  <c r="P44" i="1"/>
  <c r="P57" i="1" s="1"/>
  <c r="P61" i="1" s="1"/>
  <c r="Q51" i="1"/>
  <c r="Q48" i="1"/>
  <c r="O62" i="1"/>
  <c r="P14" i="1"/>
  <c r="Q41" i="1"/>
  <c r="Q16" i="1"/>
  <c r="R11" i="1"/>
  <c r="Q54" i="1"/>
  <c r="Q37" i="1" l="1"/>
  <c r="Q39" i="1" s="1"/>
  <c r="Q34" i="1"/>
  <c r="Q35" i="1" s="1"/>
  <c r="R25" i="1"/>
  <c r="R22" i="1"/>
  <c r="R19" i="1"/>
  <c r="R28" i="1"/>
  <c r="R31" i="1"/>
  <c r="Q44" i="1"/>
  <c r="Q57" i="1" s="1"/>
  <c r="Q61" i="1" s="1"/>
  <c r="R51" i="1"/>
  <c r="R48" i="1"/>
  <c r="P62" i="1"/>
  <c r="R41" i="1"/>
  <c r="R16" i="1"/>
  <c r="R54" i="1"/>
  <c r="Q14" i="1"/>
  <c r="R34" i="1" l="1"/>
  <c r="R35" i="1" s="1"/>
  <c r="R14" i="1"/>
  <c r="R37" i="1"/>
  <c r="R39" i="1" s="1"/>
  <c r="R44" i="1"/>
  <c r="R57" i="1" s="1"/>
  <c r="R61" i="1" s="1"/>
  <c r="Q62" i="1"/>
  <c r="R62" i="1" l="1"/>
  <c r="C64" i="1"/>
  <c r="C65" i="1" s="1"/>
  <c r="G67" i="1" l="1"/>
  <c r="G69" i="1" l="1"/>
  <c r="G72" i="1" s="1"/>
  <c r="O59" i="1"/>
  <c r="L59" i="1"/>
  <c r="M59" i="1"/>
  <c r="P59" i="1"/>
  <c r="R59" i="1" l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BJ59" i="1" s="1"/>
  <c r="BK59" i="1" s="1"/>
  <c r="BL59" i="1" s="1"/>
  <c r="BM59" i="1" s="1"/>
  <c r="BN59" i="1" s="1"/>
  <c r="BO59" i="1" s="1"/>
  <c r="BP59" i="1" s="1"/>
  <c r="BQ59" i="1" s="1"/>
  <c r="BR59" i="1" s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N59" i="1"/>
  <c r="Q59" i="1"/>
  <c r="J59" i="1"/>
  <c r="K59" i="1"/>
  <c r="F64" i="1" l="1"/>
  <c r="H67" i="1" s="1"/>
  <c r="H69" i="1" s="1"/>
  <c r="H72" i="1" l="1"/>
  <c r="D72" i="1" s="1"/>
  <c r="L66" i="1" s="1"/>
  <c r="J6" i="1" l="1"/>
  <c r="N5" i="1" s="1"/>
</calcChain>
</file>

<file path=xl/sharedStrings.xml><?xml version="1.0" encoding="utf-8"?>
<sst xmlns="http://schemas.openxmlformats.org/spreadsheetml/2006/main" count="87" uniqueCount="59">
  <si>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</si>
  <si>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</si>
  <si>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</si>
  <si>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</si>
  <si>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</si>
  <si>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</si>
  <si>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</si>
  <si>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</si>
  <si>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</si>
  <si>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</si>
  <si>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</si>
  <si>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</si>
  <si>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</si>
  <si>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</si>
  <si>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</si>
  <si>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</si>
  <si>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</si>
  <si>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</si>
  <si>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</si>
  <si>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</si>
  <si>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</si>
  <si>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</si>
  <si>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</si>
  <si>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</si>
  <si>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</si>
  <si>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</si>
  <si>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</si>
  <si>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</si>
  <si>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</si>
  <si>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</si>
  <si>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</si>
  <si>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</si>
  <si>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</si>
  <si>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</si>
  <si>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</si>
  <si>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</si>
  <si>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</si>
  <si>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</si>
  <si>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</si>
  <si>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</si>
  <si>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</si>
  <si>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</si>
  <si>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Other inc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</si>
  <si>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</si>
  <si>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</si>
  <si>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</si>
  <si>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</si>
  <si>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</si>
  <si>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</si>
  <si>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</si>
  <si>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</si>
  <si>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</si>
  <si>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</si>
  <si>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</si>
  <si>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Total interest</t>
  </si>
  <si>
    <t xml:space="preserve">                                             Terminal Growth Rate</t>
  </si>
  <si>
    <t>Last update</t>
  </si>
  <si>
    <t>SG&amp;A</t>
  </si>
  <si>
    <t>Advanced Micro Devices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</si>
</sst>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64" fontId="3" fillId="2" borderId="0" xfId="1" applyNumberFormat="1" applyFont="1" applyFill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4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" fontId="3" fillId="2" borderId="13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2" xfId="0" applyNumberFormat="1" applyFont="1" applyFill="1" applyBorder="1"/>
    <xf numFmtId="1" fontId="3" fillId="2" borderId="0" xfId="0" applyNumberFormat="1" applyFont="1" applyFill="1" applyBorder="1"/>
    <xf numFmtId="10" fontId="8" fillId="2" borderId="0" xfId="0" applyNumberFormat="1" applyFont="1" applyFill="1" applyBorder="1"/>
    <xf numFmtId="3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64" fontId="3" fillId="2" borderId="0" xfId="0" applyNumberFormat="1" applyFont="1" applyFill="1" applyBorder="1"/>
    <xf numFmtId="3" fontId="3" fillId="0" borderId="4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3"/>
  <sheetViews>
    <sheetView tabSelected="1" workbookViewId="0">
      <selection activeCell="J10" sqref="J10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7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7"/>
      <c r="Q4" s="57"/>
    </row>
    <row r="5" spans="1:86" x14ac:dyDescent="0.25">
      <c r="A5" s="1"/>
      <c r="B5" s="1"/>
      <c r="C5" s="7" t="s">
        <v>1</v>
      </c>
      <c r="D5" s="1"/>
      <c r="E5" s="8">
        <f>WACC!K14</f>
        <v>8.8922185035049298E-2</v>
      </c>
      <c r="G5" s="1"/>
      <c r="H5" s="1" t="s">
        <v>2</v>
      </c>
      <c r="I5" s="1"/>
      <c r="J5" s="7">
        <v>89.92</v>
      </c>
      <c r="K5" s="1"/>
      <c r="L5" s="1" t="s">
        <v>3</v>
      </c>
      <c r="M5" s="1"/>
      <c r="N5" s="81">
        <f>(J6/J5)-1</f>
        <v>-0.19291512809415545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-0.01</v>
      </c>
      <c r="G6" s="1"/>
      <c r="H6" s="1" t="s">
        <v>5</v>
      </c>
      <c r="I6" s="1"/>
      <c r="J6" s="7">
        <f>D72</f>
        <v>72.573071681773541</v>
      </c>
      <c r="K6" s="1"/>
      <c r="L6" s="1" t="s">
        <v>56</v>
      </c>
      <c r="M6" s="1"/>
      <c r="N6" s="80">
        <v>45051</v>
      </c>
      <c r="O6" s="1"/>
      <c r="P6" s="1"/>
      <c r="Q6" s="1"/>
    </row>
    <row r="7" spans="1:86" x14ac:dyDescent="0.25">
      <c r="B7" s="80"/>
      <c r="C7" s="1"/>
      <c r="D7" s="1"/>
      <c r="E7" s="9"/>
      <c r="F7" s="1"/>
      <c r="G7" s="1"/>
      <c r="H7" s="1"/>
      <c r="I7" s="1"/>
      <c r="J7" s="1"/>
      <c r="K7" s="1"/>
      <c r="L7" s="63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3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72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5253</v>
      </c>
      <c r="D11" s="12">
        <v>6475</v>
      </c>
      <c r="E11" s="12">
        <v>6731</v>
      </c>
      <c r="F11" s="12">
        <v>9763</v>
      </c>
      <c r="G11" s="12">
        <v>16434</v>
      </c>
      <c r="H11" s="12">
        <v>23601</v>
      </c>
      <c r="I11" s="22">
        <f>H11*(1+I12)</f>
        <v>23058.177</v>
      </c>
      <c r="J11" s="19">
        <f t="shared" ref="J11:R11" si="1">I11*(1+J12)</f>
        <v>27254.765213999999</v>
      </c>
      <c r="K11" s="19">
        <f t="shared" si="1"/>
        <v>32215.132482947996</v>
      </c>
      <c r="L11" s="19">
        <f t="shared" si="1"/>
        <v>38078.286594844532</v>
      </c>
      <c r="M11" s="19">
        <f t="shared" si="1"/>
        <v>45008.534755106237</v>
      </c>
      <c r="N11" s="19">
        <f t="shared" si="1"/>
        <v>53200.08808053557</v>
      </c>
      <c r="O11" s="19">
        <f t="shared" si="1"/>
        <v>62882.50411119304</v>
      </c>
      <c r="P11" s="19">
        <f t="shared" si="1"/>
        <v>74327.119859430168</v>
      </c>
      <c r="Q11" s="19">
        <f t="shared" si="1"/>
        <v>87854.655673846457</v>
      </c>
      <c r="R11" s="19">
        <f t="shared" si="1"/>
        <v>103844.20300648651</v>
      </c>
    </row>
    <row r="12" spans="1:86" x14ac:dyDescent="0.25">
      <c r="A12" s="1"/>
      <c r="B12" s="14" t="s">
        <v>8</v>
      </c>
      <c r="C12" s="15"/>
      <c r="D12" s="15">
        <f>(D11/C11)-1</f>
        <v>0.23262897391966497</v>
      </c>
      <c r="E12" s="15">
        <f t="shared" ref="E12:H12" si="2">(E11/D11)-1</f>
        <v>3.9536679536679609E-2</v>
      </c>
      <c r="F12" s="15">
        <f t="shared" si="2"/>
        <v>0.45045312732134901</v>
      </c>
      <c r="G12" s="15">
        <f t="shared" si="2"/>
        <v>0.68329406944586712</v>
      </c>
      <c r="H12" s="15">
        <f t="shared" si="2"/>
        <v>0.43610806863818907</v>
      </c>
      <c r="I12" s="73">
        <v>-2.3E-2</v>
      </c>
      <c r="J12" s="69">
        <v>0.182</v>
      </c>
      <c r="K12" s="69">
        <v>0.182</v>
      </c>
      <c r="L12" s="69">
        <v>0.182</v>
      </c>
      <c r="M12" s="69">
        <v>0.182</v>
      </c>
      <c r="N12" s="69">
        <v>0.182</v>
      </c>
      <c r="O12" s="69">
        <v>0.182</v>
      </c>
      <c r="P12" s="69">
        <v>0.182</v>
      </c>
      <c r="Q12" s="69">
        <v>0.182</v>
      </c>
      <c r="R12" s="69">
        <v>0.182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</row>
    <row r="14" spans="1:86" x14ac:dyDescent="0.25">
      <c r="A14" s="1"/>
      <c r="B14" s="1" t="s">
        <v>9</v>
      </c>
      <c r="C14" s="12">
        <v>3466</v>
      </c>
      <c r="D14" s="12">
        <v>4028</v>
      </c>
      <c r="E14" s="12">
        <v>3863</v>
      </c>
      <c r="F14" s="12">
        <v>5416</v>
      </c>
      <c r="G14" s="12">
        <v>8505</v>
      </c>
      <c r="H14" s="41">
        <v>12998</v>
      </c>
      <c r="I14" s="74">
        <f>I11-I16</f>
        <v>12681.99735</v>
      </c>
      <c r="J14" s="71">
        <f t="shared" ref="J14:K14" si="3">J11-J16</f>
        <v>14990.1208677</v>
      </c>
      <c r="K14" s="71">
        <f t="shared" si="3"/>
        <v>17718.322865621398</v>
      </c>
      <c r="L14" s="71">
        <f t="shared" ref="L14:R14" si="4">L11-L16</f>
        <v>19039.143297422266</v>
      </c>
      <c r="M14" s="71">
        <f t="shared" si="4"/>
        <v>22504.267377553118</v>
      </c>
      <c r="N14" s="71">
        <f t="shared" si="4"/>
        <v>26600.044040267785</v>
      </c>
      <c r="O14" s="71">
        <f t="shared" si="4"/>
        <v>31441.25205559652</v>
      </c>
      <c r="P14" s="71">
        <f t="shared" si="4"/>
        <v>37163.559929715084</v>
      </c>
      <c r="Q14" s="71">
        <f t="shared" si="4"/>
        <v>43927.327836923228</v>
      </c>
      <c r="R14" s="71">
        <f t="shared" si="4"/>
        <v>51922.101503243255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86" x14ac:dyDescent="0.25">
      <c r="A16" s="1"/>
      <c r="B16" s="1" t="s">
        <v>10</v>
      </c>
      <c r="C16" s="12">
        <f t="shared" ref="C16:F16" si="5">C11-C14</f>
        <v>1787</v>
      </c>
      <c r="D16" s="12">
        <f t="shared" si="5"/>
        <v>2447</v>
      </c>
      <c r="E16" s="12">
        <f t="shared" si="5"/>
        <v>2868</v>
      </c>
      <c r="F16" s="12">
        <f t="shared" si="5"/>
        <v>4347</v>
      </c>
      <c r="G16" s="12">
        <f>G11-G14</f>
        <v>7929</v>
      </c>
      <c r="H16" s="12">
        <f>H11-H14</f>
        <v>10603</v>
      </c>
      <c r="I16" s="22">
        <f>I11*I17</f>
        <v>10376.17965</v>
      </c>
      <c r="J16" s="83">
        <f t="shared" ref="J16:R16" si="6">J11*J17</f>
        <v>12264.6443463</v>
      </c>
      <c r="K16" s="83">
        <f t="shared" si="6"/>
        <v>14496.809617326599</v>
      </c>
      <c r="L16" s="83">
        <f t="shared" si="6"/>
        <v>19039.143297422266</v>
      </c>
      <c r="M16" s="83">
        <f t="shared" si="6"/>
        <v>22504.267377553118</v>
      </c>
      <c r="N16" s="83">
        <f t="shared" si="6"/>
        <v>26600.044040267785</v>
      </c>
      <c r="O16" s="83">
        <f t="shared" si="6"/>
        <v>31441.25205559652</v>
      </c>
      <c r="P16" s="83">
        <f t="shared" si="6"/>
        <v>37163.559929715084</v>
      </c>
      <c r="Q16" s="83">
        <f t="shared" si="6"/>
        <v>43927.327836923228</v>
      </c>
      <c r="R16" s="83">
        <f t="shared" si="6"/>
        <v>51922.101503243255</v>
      </c>
    </row>
    <row r="17" spans="1:18" x14ac:dyDescent="0.25">
      <c r="A17" s="1"/>
      <c r="B17" s="14" t="s">
        <v>11</v>
      </c>
      <c r="C17" s="15">
        <f>C16/C11</f>
        <v>0.34018656006091758</v>
      </c>
      <c r="D17" s="15">
        <f t="shared" ref="D17:H17" si="7">D16/D11</f>
        <v>0.37791505791505792</v>
      </c>
      <c r="E17" s="15">
        <f t="shared" si="7"/>
        <v>0.42608824840291187</v>
      </c>
      <c r="F17" s="15">
        <f t="shared" si="7"/>
        <v>0.44525248386766364</v>
      </c>
      <c r="G17" s="15">
        <f t="shared" si="7"/>
        <v>0.48247535596933189</v>
      </c>
      <c r="H17" s="15">
        <f t="shared" si="7"/>
        <v>0.4492606245498072</v>
      </c>
      <c r="I17" s="75">
        <v>0.45</v>
      </c>
      <c r="J17" s="84">
        <v>0.45</v>
      </c>
      <c r="K17" s="84">
        <v>0.45</v>
      </c>
      <c r="L17" s="84">
        <v>0.5</v>
      </c>
      <c r="M17" s="84">
        <v>0.5</v>
      </c>
      <c r="N17" s="84">
        <v>0.5</v>
      </c>
      <c r="O17" s="84">
        <v>0.5</v>
      </c>
      <c r="P17" s="84">
        <v>0.5</v>
      </c>
      <c r="Q17" s="84">
        <v>0.5</v>
      </c>
      <c r="R17" s="84">
        <v>0.5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 t="s">
        <v>12</v>
      </c>
      <c r="C19" s="12">
        <v>1196</v>
      </c>
      <c r="D19" s="12">
        <v>1434</v>
      </c>
      <c r="E19" s="12">
        <v>1547</v>
      </c>
      <c r="F19" s="12">
        <v>1983</v>
      </c>
      <c r="G19" s="12">
        <v>2845</v>
      </c>
      <c r="H19" s="12">
        <v>5005</v>
      </c>
      <c r="I19" s="22">
        <f>I20*I11</f>
        <v>5072.7989399999997</v>
      </c>
      <c r="J19" s="19">
        <f t="shared" ref="J19:R19" si="8">J20*J11</f>
        <v>5996.04834708</v>
      </c>
      <c r="K19" s="19">
        <f t="shared" si="8"/>
        <v>7087.3291462485595</v>
      </c>
      <c r="L19" s="19">
        <f t="shared" si="8"/>
        <v>8377.2230508657976</v>
      </c>
      <c r="M19" s="19">
        <f t="shared" si="8"/>
        <v>9901.877646123372</v>
      </c>
      <c r="N19" s="19">
        <f t="shared" si="8"/>
        <v>11704.019377717825</v>
      </c>
      <c r="O19" s="19">
        <f t="shared" si="8"/>
        <v>13834.150904462469</v>
      </c>
      <c r="P19" s="19">
        <f t="shared" si="8"/>
        <v>16351.966369074637</v>
      </c>
      <c r="Q19" s="19">
        <f t="shared" si="8"/>
        <v>19328.02424824622</v>
      </c>
      <c r="R19" s="19">
        <f t="shared" si="8"/>
        <v>22845.724661427033</v>
      </c>
    </row>
    <row r="20" spans="1:18" x14ac:dyDescent="0.25">
      <c r="A20" s="1"/>
      <c r="B20" s="14" t="s">
        <v>19</v>
      </c>
      <c r="C20" s="15">
        <f>C19/C11</f>
        <v>0.22767942128307633</v>
      </c>
      <c r="D20" s="15">
        <f t="shared" ref="D20:H20" si="9">D19/D11</f>
        <v>0.22146718146718147</v>
      </c>
      <c r="E20" s="15">
        <f t="shared" si="9"/>
        <v>0.22983212004159859</v>
      </c>
      <c r="F20" s="15">
        <f t="shared" si="9"/>
        <v>0.20311379698863055</v>
      </c>
      <c r="G20" s="15">
        <f t="shared" si="9"/>
        <v>0.17311670926128758</v>
      </c>
      <c r="H20" s="15">
        <f t="shared" si="9"/>
        <v>0.21206728528452184</v>
      </c>
      <c r="I20" s="21">
        <v>0.22</v>
      </c>
      <c r="J20" s="56">
        <v>0.22</v>
      </c>
      <c r="K20" s="56">
        <v>0.22</v>
      </c>
      <c r="L20" s="56">
        <v>0.22</v>
      </c>
      <c r="M20" s="56">
        <v>0.22</v>
      </c>
      <c r="N20" s="56">
        <v>0.22</v>
      </c>
      <c r="O20" s="56">
        <v>0.22</v>
      </c>
      <c r="P20" s="56">
        <v>0.22</v>
      </c>
      <c r="Q20" s="56">
        <v>0.22</v>
      </c>
      <c r="R20" s="56">
        <v>0.22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83"/>
      <c r="K21" s="83"/>
      <c r="L21" s="83"/>
      <c r="M21" s="83"/>
      <c r="N21" s="83"/>
      <c r="O21" s="83"/>
      <c r="P21" s="83"/>
      <c r="Q21" s="83"/>
      <c r="R21" s="83"/>
    </row>
    <row r="22" spans="1:18" x14ac:dyDescent="0.25">
      <c r="A22" s="1"/>
      <c r="B22" s="1" t="s">
        <v>57</v>
      </c>
      <c r="C22" s="12">
        <v>516</v>
      </c>
      <c r="D22" s="12">
        <v>562</v>
      </c>
      <c r="E22" s="12">
        <v>750</v>
      </c>
      <c r="F22" s="12">
        <v>995</v>
      </c>
      <c r="G22" s="12">
        <v>1448</v>
      </c>
      <c r="H22" s="12">
        <v>2336</v>
      </c>
      <c r="I22" s="22">
        <f>I23*I11</f>
        <v>2536.3994699999998</v>
      </c>
      <c r="J22" s="83">
        <f t="shared" ref="J22:R22" si="10">J23*J11</f>
        <v>2998.02417354</v>
      </c>
      <c r="K22" s="83">
        <f t="shared" si="10"/>
        <v>3543.6645731242797</v>
      </c>
      <c r="L22" s="83">
        <f t="shared" si="10"/>
        <v>4188.6115254328988</v>
      </c>
      <c r="M22" s="83">
        <f t="shared" si="10"/>
        <v>4950.938823061686</v>
      </c>
      <c r="N22" s="83">
        <f t="shared" si="10"/>
        <v>5852.0096888589123</v>
      </c>
      <c r="O22" s="83">
        <f t="shared" si="10"/>
        <v>6917.0754522312345</v>
      </c>
      <c r="P22" s="83">
        <f t="shared" si="10"/>
        <v>8175.9831845373183</v>
      </c>
      <c r="Q22" s="83">
        <f t="shared" si="10"/>
        <v>9664.01212412311</v>
      </c>
      <c r="R22" s="83">
        <f t="shared" si="10"/>
        <v>11422.862330713517</v>
      </c>
    </row>
    <row r="23" spans="1:18" x14ac:dyDescent="0.25">
      <c r="A23" s="1"/>
      <c r="B23" s="14" t="s">
        <v>19</v>
      </c>
      <c r="C23" s="15">
        <f>C22/C11</f>
        <v>9.8229583095374065E-2</v>
      </c>
      <c r="D23" s="15">
        <f t="shared" ref="D23:H23" si="11">D22/D11</f>
        <v>8.6795366795366799E-2</v>
      </c>
      <c r="E23" s="15">
        <f t="shared" si="11"/>
        <v>0.1114247511513891</v>
      </c>
      <c r="F23" s="15">
        <f t="shared" si="11"/>
        <v>0.10191539485813787</v>
      </c>
      <c r="G23" s="15">
        <f t="shared" si="11"/>
        <v>8.81100158208592E-2</v>
      </c>
      <c r="H23" s="15">
        <f t="shared" si="11"/>
        <v>9.8978856828100509E-2</v>
      </c>
      <c r="I23" s="21">
        <v>0.11</v>
      </c>
      <c r="J23" s="56">
        <v>0.11</v>
      </c>
      <c r="K23" s="56">
        <v>0.11</v>
      </c>
      <c r="L23" s="56">
        <v>0.11</v>
      </c>
      <c r="M23" s="56">
        <v>0.11</v>
      </c>
      <c r="N23" s="56">
        <v>0.11</v>
      </c>
      <c r="O23" s="56">
        <v>0.11</v>
      </c>
      <c r="P23" s="56">
        <v>0.11</v>
      </c>
      <c r="Q23" s="56">
        <v>0.11</v>
      </c>
      <c r="R23" s="56">
        <v>0.11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83"/>
      <c r="K24" s="83"/>
      <c r="L24" s="83"/>
      <c r="M24" s="83"/>
      <c r="N24" s="83"/>
      <c r="O24" s="83"/>
      <c r="P24" s="83"/>
      <c r="Q24" s="83"/>
      <c r="R24" s="83"/>
    </row>
    <row r="25" spans="1:18" x14ac:dyDescent="0.25">
      <c r="A25" s="1"/>
      <c r="B25" s="1" t="s">
        <v>13</v>
      </c>
      <c r="C25" s="12">
        <v>-52</v>
      </c>
      <c r="D25" s="12">
        <v>0</v>
      </c>
      <c r="E25" s="12">
        <v>-60</v>
      </c>
      <c r="F25" s="12">
        <v>0</v>
      </c>
      <c r="G25" s="12">
        <v>-12</v>
      </c>
      <c r="H25" s="12">
        <v>1998</v>
      </c>
      <c r="I25" s="76">
        <f t="shared" ref="I25:R25" si="12">I26*I11</f>
        <v>230.58177000000001</v>
      </c>
      <c r="J25" s="85">
        <f t="shared" si="12"/>
        <v>272.54765213999997</v>
      </c>
      <c r="K25" s="85">
        <f t="shared" si="12"/>
        <v>322.15132482947996</v>
      </c>
      <c r="L25" s="85">
        <f t="shared" si="12"/>
        <v>380.78286594844531</v>
      </c>
      <c r="M25" s="85">
        <f t="shared" si="12"/>
        <v>450.0853475510624</v>
      </c>
      <c r="N25" s="85">
        <f t="shared" si="12"/>
        <v>532.00088080535568</v>
      </c>
      <c r="O25" s="85">
        <f t="shared" si="12"/>
        <v>628.82504111193043</v>
      </c>
      <c r="P25" s="85">
        <f t="shared" si="12"/>
        <v>743.27119859430172</v>
      </c>
      <c r="Q25" s="85">
        <f t="shared" si="12"/>
        <v>878.54655673846457</v>
      </c>
      <c r="R25" s="85">
        <f t="shared" si="12"/>
        <v>1038.4420300648651</v>
      </c>
    </row>
    <row r="26" spans="1:18" x14ac:dyDescent="0.25">
      <c r="A26" s="1"/>
      <c r="B26" s="14" t="s">
        <v>19</v>
      </c>
      <c r="C26" s="15">
        <f t="shared" ref="C26:H26" si="13">C25/C11</f>
        <v>-9.8991052731772326E-3</v>
      </c>
      <c r="D26" s="15">
        <f t="shared" si="13"/>
        <v>0</v>
      </c>
      <c r="E26" s="15">
        <f t="shared" si="13"/>
        <v>-8.9139800921111279E-3</v>
      </c>
      <c r="F26" s="15">
        <f t="shared" si="13"/>
        <v>0</v>
      </c>
      <c r="G26" s="15">
        <f t="shared" si="13"/>
        <v>-7.3019350127783865E-4</v>
      </c>
      <c r="H26" s="15">
        <f t="shared" si="13"/>
        <v>8.4657429769925005E-2</v>
      </c>
      <c r="I26" s="21">
        <v>0.01</v>
      </c>
      <c r="J26" s="56">
        <v>0.01</v>
      </c>
      <c r="K26" s="56">
        <v>0.01</v>
      </c>
      <c r="L26" s="56">
        <v>0.01</v>
      </c>
      <c r="M26" s="56">
        <v>0.01</v>
      </c>
      <c r="N26" s="56">
        <v>0.01</v>
      </c>
      <c r="O26" s="56">
        <v>0.01</v>
      </c>
      <c r="P26" s="56">
        <v>0.01</v>
      </c>
      <c r="Q26" s="56">
        <v>0.01</v>
      </c>
      <c r="R26" s="56">
        <v>0.01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76"/>
      <c r="J27" s="85"/>
      <c r="K27" s="85"/>
      <c r="L27" s="85"/>
      <c r="M27" s="85"/>
      <c r="N27" s="85"/>
      <c r="O27" s="85"/>
      <c r="P27" s="85"/>
      <c r="Q27" s="85"/>
      <c r="R27" s="85"/>
    </row>
    <row r="28" spans="1:18" x14ac:dyDescent="0.25">
      <c r="A28" s="1"/>
      <c r="B28" s="1" t="s">
        <v>54</v>
      </c>
      <c r="C28" s="12">
        <v>-126</v>
      </c>
      <c r="D28" s="12">
        <v>-121</v>
      </c>
      <c r="E28" s="12">
        <v>-94</v>
      </c>
      <c r="F28" s="12">
        <v>-47</v>
      </c>
      <c r="G28" s="12">
        <v>-34</v>
      </c>
      <c r="H28" s="12">
        <v>-88</v>
      </c>
      <c r="I28" s="76">
        <f t="shared" ref="I28:R28" si="14">I29*I11</f>
        <v>-115.290885</v>
      </c>
      <c r="J28" s="85">
        <f t="shared" si="14"/>
        <v>-136.27382606999998</v>
      </c>
      <c r="K28" s="85">
        <f t="shared" si="14"/>
        <v>-161.07566241473998</v>
      </c>
      <c r="L28" s="85">
        <f t="shared" si="14"/>
        <v>-190.39143297422265</v>
      </c>
      <c r="M28" s="85">
        <f t="shared" si="14"/>
        <v>-225.0426737755312</v>
      </c>
      <c r="N28" s="85">
        <f t="shared" si="14"/>
        <v>-266.00044040267784</v>
      </c>
      <c r="O28" s="85">
        <f t="shared" si="14"/>
        <v>-314.41252055596522</v>
      </c>
      <c r="P28" s="85">
        <f t="shared" si="14"/>
        <v>-371.63559929715086</v>
      </c>
      <c r="Q28" s="85">
        <f t="shared" si="14"/>
        <v>-439.27327836923229</v>
      </c>
      <c r="R28" s="85">
        <f t="shared" si="14"/>
        <v>-519.22101503243255</v>
      </c>
    </row>
    <row r="29" spans="1:18" x14ac:dyDescent="0.25">
      <c r="A29" s="1"/>
      <c r="B29" s="14" t="s">
        <v>19</v>
      </c>
      <c r="C29" s="15">
        <f t="shared" ref="C29:H29" si="15">C28/C11</f>
        <v>-2.3986293546544833E-2</v>
      </c>
      <c r="D29" s="15">
        <f t="shared" si="15"/>
        <v>-1.8687258687258686E-2</v>
      </c>
      <c r="E29" s="15">
        <f t="shared" si="15"/>
        <v>-1.3965235477640767E-2</v>
      </c>
      <c r="F29" s="15">
        <f t="shared" si="15"/>
        <v>-4.8140940284748541E-3</v>
      </c>
      <c r="G29" s="15">
        <f t="shared" si="15"/>
        <v>-2.068881586953876E-3</v>
      </c>
      <c r="H29" s="15">
        <f t="shared" si="15"/>
        <v>-3.7286555654421423E-3</v>
      </c>
      <c r="I29" s="21">
        <v>-5.0000000000000001E-3</v>
      </c>
      <c r="J29" s="56">
        <v>-5.0000000000000001E-3</v>
      </c>
      <c r="K29" s="56">
        <v>-5.0000000000000001E-3</v>
      </c>
      <c r="L29" s="56">
        <v>-5.0000000000000001E-3</v>
      </c>
      <c r="M29" s="56">
        <v>-5.0000000000000001E-3</v>
      </c>
      <c r="N29" s="56">
        <v>-5.0000000000000001E-3</v>
      </c>
      <c r="O29" s="56">
        <v>-5.0000000000000001E-3</v>
      </c>
      <c r="P29" s="56">
        <v>-5.0000000000000001E-3</v>
      </c>
      <c r="Q29" s="56">
        <v>-5.0000000000000001E-3</v>
      </c>
      <c r="R29" s="56">
        <v>-5.0000000000000001E-3</v>
      </c>
    </row>
    <row r="30" spans="1:18" x14ac:dyDescent="0.25">
      <c r="A30" s="1"/>
      <c r="B30" s="1"/>
      <c r="C30" s="12"/>
      <c r="D30" s="12"/>
      <c r="E30" s="12"/>
      <c r="F30" s="12"/>
      <c r="G30" s="12"/>
      <c r="H30" s="12"/>
      <c r="I30" s="76"/>
      <c r="J30" s="85"/>
      <c r="K30" s="85"/>
      <c r="L30" s="85"/>
      <c r="M30" s="85"/>
      <c r="N30" s="85"/>
      <c r="O30" s="85"/>
      <c r="P30" s="85"/>
      <c r="Q30" s="85"/>
      <c r="R30" s="85"/>
    </row>
    <row r="31" spans="1:18" x14ac:dyDescent="0.25">
      <c r="A31" s="1"/>
      <c r="B31" s="1" t="s">
        <v>16</v>
      </c>
      <c r="C31" s="12">
        <v>-9</v>
      </c>
      <c r="D31" s="12">
        <v>0</v>
      </c>
      <c r="E31" s="12">
        <v>-165</v>
      </c>
      <c r="F31" s="12">
        <v>-47</v>
      </c>
      <c r="G31" s="12">
        <v>55</v>
      </c>
      <c r="H31" s="12">
        <v>8</v>
      </c>
      <c r="I31" s="76">
        <f t="shared" ref="I31:R31" si="16">I32*I11</f>
        <v>57.645442500000001</v>
      </c>
      <c r="J31" s="85">
        <f t="shared" si="16"/>
        <v>68.136913034999992</v>
      </c>
      <c r="K31" s="85">
        <f t="shared" si="16"/>
        <v>80.53783120736999</v>
      </c>
      <c r="L31" s="85">
        <f t="shared" si="16"/>
        <v>95.195716487111326</v>
      </c>
      <c r="M31" s="85">
        <f t="shared" si="16"/>
        <v>112.5213368877656</v>
      </c>
      <c r="N31" s="85">
        <f t="shared" si="16"/>
        <v>133.00022020133892</v>
      </c>
      <c r="O31" s="85">
        <f t="shared" si="16"/>
        <v>157.20626027798261</v>
      </c>
      <c r="P31" s="85">
        <f t="shared" si="16"/>
        <v>185.81779964857543</v>
      </c>
      <c r="Q31" s="85">
        <f t="shared" si="16"/>
        <v>219.63663918461614</v>
      </c>
      <c r="R31" s="85">
        <f t="shared" si="16"/>
        <v>259.61050751621627</v>
      </c>
    </row>
    <row r="32" spans="1:18" x14ac:dyDescent="0.25">
      <c r="A32" s="1"/>
      <c r="B32" s="14" t="s">
        <v>19</v>
      </c>
      <c r="C32" s="15">
        <f t="shared" ref="C32:H32" si="17">C31/C11</f>
        <v>-1.7133066818960593E-3</v>
      </c>
      <c r="D32" s="15">
        <f t="shared" si="17"/>
        <v>0</v>
      </c>
      <c r="E32" s="15">
        <f t="shared" si="17"/>
        <v>-2.45134452533056E-2</v>
      </c>
      <c r="F32" s="15">
        <f t="shared" si="17"/>
        <v>-4.8140940284748541E-3</v>
      </c>
      <c r="G32" s="15">
        <f t="shared" si="17"/>
        <v>3.3467202141900937E-3</v>
      </c>
      <c r="H32" s="15">
        <f t="shared" si="17"/>
        <v>3.3896868776746747E-4</v>
      </c>
      <c r="I32" s="21">
        <v>2.5000000000000001E-3</v>
      </c>
      <c r="J32" s="56">
        <v>2.5000000000000001E-3</v>
      </c>
      <c r="K32" s="56">
        <v>2.5000000000000001E-3</v>
      </c>
      <c r="L32" s="56">
        <v>2.5000000000000001E-3</v>
      </c>
      <c r="M32" s="56">
        <v>2.5000000000000001E-3</v>
      </c>
      <c r="N32" s="56">
        <v>2.5000000000000001E-3</v>
      </c>
      <c r="O32" s="56">
        <v>2.5000000000000001E-3</v>
      </c>
      <c r="P32" s="56">
        <v>2.5000000000000001E-3</v>
      </c>
      <c r="Q32" s="56">
        <v>2.5000000000000001E-3</v>
      </c>
      <c r="R32" s="56">
        <v>2.5000000000000001E-3</v>
      </c>
    </row>
    <row r="33" spans="1:86" x14ac:dyDescent="0.25">
      <c r="A33" s="1"/>
      <c r="B33" s="1"/>
      <c r="C33" s="1"/>
      <c r="D33" s="1"/>
      <c r="E33" s="1"/>
      <c r="F33" s="12"/>
      <c r="G33" s="12"/>
      <c r="H33" s="12"/>
      <c r="I33" s="13"/>
      <c r="J33" s="86"/>
      <c r="K33" s="86"/>
      <c r="L33" s="86"/>
      <c r="M33" s="86"/>
      <c r="N33" s="86"/>
      <c r="O33" s="86"/>
      <c r="P33" s="86"/>
      <c r="Q33" s="86"/>
      <c r="R33" s="87"/>
    </row>
    <row r="34" spans="1:86" x14ac:dyDescent="0.25">
      <c r="A34" s="1"/>
      <c r="B34" s="1" t="s">
        <v>14</v>
      </c>
      <c r="C34" s="12">
        <f t="shared" ref="C34:G34" si="18">C19+C22+C25</f>
        <v>1660</v>
      </c>
      <c r="D34" s="12">
        <f t="shared" si="18"/>
        <v>1996</v>
      </c>
      <c r="E34" s="12">
        <f t="shared" si="18"/>
        <v>2237</v>
      </c>
      <c r="F34" s="12">
        <f t="shared" si="18"/>
        <v>2978</v>
      </c>
      <c r="G34" s="12">
        <f t="shared" si="18"/>
        <v>4281</v>
      </c>
      <c r="H34" s="12">
        <f>H19+H22+H25</f>
        <v>9339</v>
      </c>
      <c r="I34" s="76">
        <f t="shared" ref="I34:R34" si="19">I19+I22+I25</f>
        <v>7839.7801799999988</v>
      </c>
      <c r="J34" s="85">
        <f t="shared" si="19"/>
        <v>9266.6201727600001</v>
      </c>
      <c r="K34" s="85">
        <f t="shared" si="19"/>
        <v>10953.14504420232</v>
      </c>
      <c r="L34" s="85">
        <f t="shared" si="19"/>
        <v>12946.617442247143</v>
      </c>
      <c r="M34" s="85">
        <f t="shared" si="19"/>
        <v>15302.901816736121</v>
      </c>
      <c r="N34" s="85">
        <f t="shared" si="19"/>
        <v>18088.029947382096</v>
      </c>
      <c r="O34" s="85">
        <f t="shared" si="19"/>
        <v>21380.051397805633</v>
      </c>
      <c r="P34" s="85">
        <f t="shared" si="19"/>
        <v>25271.220752206256</v>
      </c>
      <c r="Q34" s="85">
        <f t="shared" si="19"/>
        <v>29870.582929107793</v>
      </c>
      <c r="R34" s="85">
        <f t="shared" si="19"/>
        <v>35307.029022205417</v>
      </c>
    </row>
    <row r="35" spans="1:86" x14ac:dyDescent="0.25">
      <c r="A35" s="1"/>
      <c r="B35" s="14" t="s">
        <v>19</v>
      </c>
      <c r="C35" s="15">
        <f t="shared" ref="C35:R35" si="20">C34/C11</f>
        <v>0.31600989910527316</v>
      </c>
      <c r="D35" s="15">
        <f t="shared" si="20"/>
        <v>0.30826254826254829</v>
      </c>
      <c r="E35" s="15">
        <f t="shared" si="20"/>
        <v>0.33234289110087656</v>
      </c>
      <c r="F35" s="15">
        <f t="shared" si="20"/>
        <v>0.30502919184676841</v>
      </c>
      <c r="G35" s="15">
        <f t="shared" si="20"/>
        <v>0.26049653158086894</v>
      </c>
      <c r="H35" s="15">
        <f t="shared" si="20"/>
        <v>0.39570357188254734</v>
      </c>
      <c r="I35" s="20">
        <f t="shared" si="20"/>
        <v>0.33999999999999997</v>
      </c>
      <c r="J35" s="70">
        <f t="shared" si="20"/>
        <v>0.34</v>
      </c>
      <c r="K35" s="70">
        <f t="shared" si="20"/>
        <v>0.34</v>
      </c>
      <c r="L35" s="70">
        <f t="shared" si="20"/>
        <v>0.34000000000000008</v>
      </c>
      <c r="M35" s="70">
        <f t="shared" si="20"/>
        <v>0.34</v>
      </c>
      <c r="N35" s="70">
        <f t="shared" si="20"/>
        <v>0.34</v>
      </c>
      <c r="O35" s="70">
        <f t="shared" si="20"/>
        <v>0.33999999999999997</v>
      </c>
      <c r="P35" s="70">
        <f t="shared" si="20"/>
        <v>0.33999999999999997</v>
      </c>
      <c r="Q35" s="70">
        <f t="shared" si="20"/>
        <v>0.33999999999999997</v>
      </c>
      <c r="R35" s="70">
        <f t="shared" si="20"/>
        <v>0.34</v>
      </c>
    </row>
    <row r="36" spans="1:86" x14ac:dyDescent="0.25">
      <c r="A36" s="1"/>
      <c r="B36" s="1"/>
      <c r="C36" s="15"/>
      <c r="D36" s="15"/>
      <c r="E36" s="15"/>
      <c r="F36" s="15"/>
      <c r="G36" s="15"/>
      <c r="H36" s="15"/>
      <c r="I36" s="21"/>
      <c r="J36" s="56"/>
      <c r="K36" s="56"/>
      <c r="L36" s="56"/>
      <c r="M36" s="56"/>
      <c r="N36" s="56"/>
      <c r="O36" s="56"/>
      <c r="P36" s="56"/>
      <c r="Q36" s="56"/>
      <c r="R36" s="56"/>
    </row>
    <row r="37" spans="1:86" x14ac:dyDescent="0.25">
      <c r="A37" s="1"/>
      <c r="B37" s="1" t="s">
        <v>15</v>
      </c>
      <c r="C37" s="12">
        <f>C16-C19-C22-C25</f>
        <v>127</v>
      </c>
      <c r="D37" s="12">
        <f t="shared" ref="D37:G37" si="21">D16-D19-D22-D25</f>
        <v>451</v>
      </c>
      <c r="E37" s="12">
        <f t="shared" si="21"/>
        <v>631</v>
      </c>
      <c r="F37" s="12">
        <f t="shared" si="21"/>
        <v>1369</v>
      </c>
      <c r="G37" s="12">
        <f t="shared" si="21"/>
        <v>3648</v>
      </c>
      <c r="H37" s="12">
        <f>H16-H19-H22-H25</f>
        <v>1264</v>
      </c>
      <c r="I37" s="76">
        <f t="shared" ref="I37:R37" si="22">I16-I19-I22-I25</f>
        <v>2536.3994700000003</v>
      </c>
      <c r="J37" s="85">
        <f t="shared" si="22"/>
        <v>2998.0241735399995</v>
      </c>
      <c r="K37" s="85">
        <f t="shared" si="22"/>
        <v>3543.6645731242793</v>
      </c>
      <c r="L37" s="85">
        <f t="shared" si="22"/>
        <v>6092.5258551751249</v>
      </c>
      <c r="M37" s="85">
        <f t="shared" si="22"/>
        <v>7201.3655608169984</v>
      </c>
      <c r="N37" s="85">
        <f t="shared" si="22"/>
        <v>8512.0140928856927</v>
      </c>
      <c r="O37" s="85">
        <f t="shared" si="22"/>
        <v>10061.200657790887</v>
      </c>
      <c r="P37" s="85">
        <f t="shared" si="22"/>
        <v>11892.339177508824</v>
      </c>
      <c r="Q37" s="85">
        <f t="shared" si="22"/>
        <v>14056.744907815433</v>
      </c>
      <c r="R37" s="85">
        <f t="shared" si="22"/>
        <v>16615.072481037841</v>
      </c>
    </row>
    <row r="38" spans="1:86" x14ac:dyDescent="0.25">
      <c r="A38" s="1"/>
      <c r="B38" s="1"/>
      <c r="C38" s="24"/>
      <c r="D38" s="24"/>
      <c r="E38" s="24"/>
      <c r="F38" s="24"/>
      <c r="G38" s="24"/>
      <c r="H38" s="24"/>
      <c r="I38" s="25"/>
      <c r="J38" s="87"/>
      <c r="K38" s="87"/>
      <c r="L38" s="87"/>
      <c r="M38" s="87"/>
      <c r="N38" s="87"/>
      <c r="O38" s="87"/>
      <c r="P38" s="87"/>
      <c r="Q38" s="87"/>
      <c r="R38" s="87"/>
    </row>
    <row r="39" spans="1:86" x14ac:dyDescent="0.25">
      <c r="A39" s="1"/>
      <c r="B39" s="1" t="s">
        <v>17</v>
      </c>
      <c r="C39" s="12">
        <f t="shared" ref="C39:G39" si="23">C37+C28+C31</f>
        <v>-8</v>
      </c>
      <c r="D39" s="12">
        <f t="shared" si="23"/>
        <v>330</v>
      </c>
      <c r="E39" s="12">
        <f t="shared" si="23"/>
        <v>372</v>
      </c>
      <c r="F39" s="12">
        <f t="shared" si="23"/>
        <v>1275</v>
      </c>
      <c r="G39" s="12">
        <f t="shared" si="23"/>
        <v>3669</v>
      </c>
      <c r="H39" s="12">
        <f>H37+H28+H31</f>
        <v>1184</v>
      </c>
      <c r="I39" s="76">
        <f t="shared" ref="I39:R39" si="24">I37+I28+I31</f>
        <v>2478.7540275000006</v>
      </c>
      <c r="J39" s="85">
        <f t="shared" si="24"/>
        <v>2929.8872605049996</v>
      </c>
      <c r="K39" s="85">
        <f t="shared" si="24"/>
        <v>3463.1267419169094</v>
      </c>
      <c r="L39" s="85">
        <f t="shared" si="24"/>
        <v>5997.330138688013</v>
      </c>
      <c r="M39" s="85">
        <f t="shared" si="24"/>
        <v>7088.8442239292326</v>
      </c>
      <c r="N39" s="85">
        <f t="shared" si="24"/>
        <v>8379.0138726843525</v>
      </c>
      <c r="O39" s="85">
        <f t="shared" si="24"/>
        <v>9903.9943975129045</v>
      </c>
      <c r="P39" s="85">
        <f t="shared" si="24"/>
        <v>11706.521377860248</v>
      </c>
      <c r="Q39" s="85">
        <f t="shared" si="24"/>
        <v>13837.108268630818</v>
      </c>
      <c r="R39" s="85">
        <f t="shared" si="24"/>
        <v>16355.461973521626</v>
      </c>
    </row>
    <row r="40" spans="1:86" x14ac:dyDescent="0.25">
      <c r="A40" s="1"/>
      <c r="B40" s="1"/>
      <c r="C40" s="24"/>
      <c r="D40" s="24"/>
      <c r="E40" s="24"/>
      <c r="F40" s="24"/>
      <c r="G40" s="24"/>
      <c r="H40" s="24"/>
      <c r="I40" s="13"/>
      <c r="J40" s="86"/>
      <c r="K40" s="86"/>
      <c r="L40" s="86"/>
      <c r="M40" s="86"/>
      <c r="N40" s="86"/>
      <c r="O40" s="86"/>
      <c r="P40" s="86"/>
      <c r="Q40" s="86"/>
      <c r="R40" s="87"/>
    </row>
    <row r="41" spans="1:86" x14ac:dyDescent="0.25">
      <c r="A41" s="1"/>
      <c r="B41" s="1" t="s">
        <v>18</v>
      </c>
      <c r="C41" s="12">
        <f t="shared" ref="C41:H41" si="25">C37</f>
        <v>127</v>
      </c>
      <c r="D41" s="12">
        <f t="shared" si="25"/>
        <v>451</v>
      </c>
      <c r="E41" s="12">
        <f t="shared" si="25"/>
        <v>631</v>
      </c>
      <c r="F41" s="12">
        <f>F37</f>
        <v>1369</v>
      </c>
      <c r="G41" s="12">
        <f t="shared" si="25"/>
        <v>3648</v>
      </c>
      <c r="H41" s="12">
        <f t="shared" si="25"/>
        <v>1264</v>
      </c>
      <c r="I41" s="13">
        <f t="shared" ref="I41:R41" si="26">I42*I11</f>
        <v>1844.65416</v>
      </c>
      <c r="J41" s="86">
        <f t="shared" si="26"/>
        <v>2452.9288692599998</v>
      </c>
      <c r="K41" s="86">
        <f t="shared" si="26"/>
        <v>3221.5132482947997</v>
      </c>
      <c r="L41" s="86">
        <f t="shared" si="26"/>
        <v>4569.3943913813437</v>
      </c>
      <c r="M41" s="86">
        <f t="shared" si="26"/>
        <v>6301.1948657148741</v>
      </c>
      <c r="N41" s="86">
        <f t="shared" si="26"/>
        <v>7448.0123312749802</v>
      </c>
      <c r="O41" s="86">
        <f t="shared" si="26"/>
        <v>9432.3756166789553</v>
      </c>
      <c r="P41" s="86">
        <f t="shared" si="26"/>
        <v>11149.067978914525</v>
      </c>
      <c r="Q41" s="86">
        <f t="shared" si="26"/>
        <v>13178.198351076968</v>
      </c>
      <c r="R41" s="86">
        <f t="shared" si="26"/>
        <v>15576.630450972976</v>
      </c>
    </row>
    <row r="42" spans="1:86" x14ac:dyDescent="0.25">
      <c r="A42" s="1"/>
      <c r="B42" s="14" t="s">
        <v>19</v>
      </c>
      <c r="C42" s="15">
        <f t="shared" ref="C42:H42" si="27">C41/C11</f>
        <v>2.4176660955644393E-2</v>
      </c>
      <c r="D42" s="15">
        <f t="shared" si="27"/>
        <v>6.9652509652509659E-2</v>
      </c>
      <c r="E42" s="15">
        <f t="shared" si="27"/>
        <v>9.3745357302035356E-2</v>
      </c>
      <c r="F42" s="15">
        <f t="shared" si="27"/>
        <v>0.14022329202089523</v>
      </c>
      <c r="G42" s="15">
        <f t="shared" si="27"/>
        <v>0.22197882438846295</v>
      </c>
      <c r="H42" s="15">
        <f t="shared" si="27"/>
        <v>5.3557052667259859E-2</v>
      </c>
      <c r="I42" s="73">
        <v>0.08</v>
      </c>
      <c r="J42" s="69">
        <v>0.09</v>
      </c>
      <c r="K42" s="69">
        <v>0.1</v>
      </c>
      <c r="L42" s="69">
        <v>0.12</v>
      </c>
      <c r="M42" s="69">
        <v>0.14000000000000001</v>
      </c>
      <c r="N42" s="69">
        <v>0.14000000000000001</v>
      </c>
      <c r="O42" s="69">
        <v>0.15</v>
      </c>
      <c r="P42" s="69">
        <v>0.15</v>
      </c>
      <c r="Q42" s="69">
        <v>0.15</v>
      </c>
      <c r="R42" s="69">
        <v>0.15</v>
      </c>
    </row>
    <row r="43" spans="1:86" x14ac:dyDescent="0.25">
      <c r="A43" s="1"/>
      <c r="B43" s="14"/>
      <c r="C43" s="1"/>
      <c r="D43" s="1"/>
      <c r="F43" s="1"/>
      <c r="G43" s="1"/>
      <c r="H43" s="1"/>
      <c r="I43" s="13"/>
      <c r="J43" s="86"/>
      <c r="K43" s="86"/>
      <c r="L43" s="86"/>
      <c r="M43" s="86"/>
      <c r="N43" s="86"/>
      <c r="O43" s="87"/>
      <c r="P43" s="87"/>
      <c r="Q43" s="87"/>
      <c r="R43" s="87"/>
    </row>
    <row r="44" spans="1:86" x14ac:dyDescent="0.25">
      <c r="A44" s="1"/>
      <c r="B44" s="1" t="s">
        <v>20</v>
      </c>
      <c r="C44" s="12">
        <v>18</v>
      </c>
      <c r="D44" s="12">
        <v>-9</v>
      </c>
      <c r="E44" s="26">
        <v>31</v>
      </c>
      <c r="F44" s="12">
        <v>-1210</v>
      </c>
      <c r="G44" s="12">
        <v>513</v>
      </c>
      <c r="H44" s="19">
        <v>-122</v>
      </c>
      <c r="I44" s="22">
        <f>I45*I41</f>
        <v>-55.339624800000003</v>
      </c>
      <c r="J44" s="83">
        <f t="shared" ref="J44:R44" si="28">J45*J41</f>
        <v>-73.587866077799987</v>
      </c>
      <c r="K44" s="83">
        <f t="shared" si="28"/>
        <v>-96.645397448843994</v>
      </c>
      <c r="L44" s="83">
        <f t="shared" si="28"/>
        <v>-137.08183174144031</v>
      </c>
      <c r="M44" s="83">
        <f t="shared" si="28"/>
        <v>441.08364060004124</v>
      </c>
      <c r="N44" s="83">
        <f t="shared" si="28"/>
        <v>521.36086318924868</v>
      </c>
      <c r="O44" s="83">
        <f t="shared" si="28"/>
        <v>660.2662931675269</v>
      </c>
      <c r="P44" s="83">
        <f t="shared" si="28"/>
        <v>780.43475852401684</v>
      </c>
      <c r="Q44" s="83">
        <f t="shared" si="28"/>
        <v>922.47388457538784</v>
      </c>
      <c r="R44" s="83">
        <f t="shared" si="28"/>
        <v>1090.3641315681084</v>
      </c>
    </row>
    <row r="45" spans="1:86" x14ac:dyDescent="0.25">
      <c r="A45" s="1"/>
      <c r="B45" s="14" t="s">
        <v>21</v>
      </c>
      <c r="C45" s="23">
        <f>C44/C41</f>
        <v>0.14173228346456693</v>
      </c>
      <c r="D45" s="23">
        <f t="shared" ref="D45:G45" si="29">D44/D41</f>
        <v>-1.9955654101995565E-2</v>
      </c>
      <c r="E45" s="23">
        <f t="shared" si="29"/>
        <v>4.9128367670364499E-2</v>
      </c>
      <c r="F45" s="23">
        <f>F44/F41</f>
        <v>-0.8838568298027758</v>
      </c>
      <c r="G45" s="23">
        <f t="shared" si="29"/>
        <v>0.140625</v>
      </c>
      <c r="H45" s="23">
        <f>H44/H41</f>
        <v>-9.6518987341772153E-2</v>
      </c>
      <c r="I45" s="75">
        <v>-0.03</v>
      </c>
      <c r="J45" s="84">
        <v>-0.03</v>
      </c>
      <c r="K45" s="84">
        <v>-0.03</v>
      </c>
      <c r="L45" s="84">
        <v>-0.03</v>
      </c>
      <c r="M45" s="84">
        <v>7.0000000000000007E-2</v>
      </c>
      <c r="N45" s="84">
        <v>7.0000000000000007E-2</v>
      </c>
      <c r="O45" s="84">
        <v>7.0000000000000007E-2</v>
      </c>
      <c r="P45" s="84">
        <v>7.0000000000000007E-2</v>
      </c>
      <c r="Q45" s="84">
        <v>7.0000000000000007E-2</v>
      </c>
      <c r="R45" s="84">
        <v>7.0000000000000007E-2</v>
      </c>
    </row>
    <row r="46" spans="1:86" x14ac:dyDescent="0.25">
      <c r="A46" s="1"/>
      <c r="B46" s="1"/>
      <c r="C46" s="1"/>
      <c r="D46" s="1"/>
      <c r="E46" s="1"/>
      <c r="F46" s="1"/>
      <c r="G46" s="1"/>
      <c r="H46" s="1"/>
      <c r="I46" s="13"/>
      <c r="J46" s="1"/>
      <c r="K46" s="1"/>
      <c r="L46" s="1"/>
      <c r="M46" s="1"/>
      <c r="N46" s="1"/>
      <c r="O46" s="1"/>
      <c r="P46" s="1"/>
      <c r="Q46" s="1"/>
    </row>
    <row r="47" spans="1:86" x14ac:dyDescent="0.25">
      <c r="A47" s="1"/>
      <c r="B47" s="10" t="s">
        <v>22</v>
      </c>
      <c r="C47" s="10">
        <v>2017</v>
      </c>
      <c r="D47" s="10">
        <f>C47+1</f>
        <v>2018</v>
      </c>
      <c r="E47" s="10">
        <f>D47+1</f>
        <v>2019</v>
      </c>
      <c r="F47" s="10">
        <v>2020</v>
      </c>
      <c r="G47" s="10">
        <v>2021</v>
      </c>
      <c r="H47" s="10">
        <v>2022</v>
      </c>
      <c r="I47" s="77">
        <v>2023</v>
      </c>
      <c r="J47" s="10">
        <v>2024</v>
      </c>
      <c r="K47" s="10">
        <v>2025</v>
      </c>
      <c r="L47" s="10">
        <v>2026</v>
      </c>
      <c r="M47" s="10">
        <v>2027</v>
      </c>
      <c r="N47" s="10">
        <v>2028</v>
      </c>
      <c r="O47" s="10">
        <v>2029</v>
      </c>
      <c r="P47" s="10">
        <v>2030</v>
      </c>
      <c r="Q47" s="10">
        <v>2031</v>
      </c>
      <c r="R47" s="10">
        <v>2032</v>
      </c>
      <c r="S47" s="10">
        <v>2033</v>
      </c>
      <c r="T47" s="10">
        <v>2034</v>
      </c>
      <c r="U47" s="10">
        <v>2035</v>
      </c>
      <c r="V47" s="10">
        <v>2036</v>
      </c>
      <c r="W47" s="10">
        <v>2037</v>
      </c>
      <c r="X47" s="10">
        <v>2038</v>
      </c>
      <c r="Y47" s="10">
        <v>2039</v>
      </c>
      <c r="Z47" s="10">
        <v>2040</v>
      </c>
      <c r="AA47" s="10">
        <v>2041</v>
      </c>
      <c r="AB47" s="10">
        <v>2042</v>
      </c>
      <c r="AC47" s="10">
        <v>2043</v>
      </c>
      <c r="AD47" s="10">
        <v>2044</v>
      </c>
      <c r="AE47" s="10">
        <v>2045</v>
      </c>
      <c r="AF47" s="10">
        <v>2046</v>
      </c>
      <c r="AG47" s="10">
        <v>2047</v>
      </c>
      <c r="AH47" s="10">
        <v>2048</v>
      </c>
      <c r="AI47" s="10">
        <v>2049</v>
      </c>
      <c r="AJ47" s="10">
        <v>2050</v>
      </c>
      <c r="AK47" s="10">
        <v>2051</v>
      </c>
      <c r="AL47" s="10">
        <v>2052</v>
      </c>
      <c r="AM47" s="10">
        <v>2053</v>
      </c>
      <c r="AN47" s="10">
        <v>2054</v>
      </c>
      <c r="AO47" s="10">
        <v>2055</v>
      </c>
      <c r="AP47" s="10">
        <v>2056</v>
      </c>
      <c r="AQ47" s="10">
        <v>2057</v>
      </c>
      <c r="AR47" s="10">
        <v>2058</v>
      </c>
      <c r="AS47" s="10">
        <v>2059</v>
      </c>
      <c r="AT47" s="10">
        <v>2060</v>
      </c>
      <c r="AU47" s="10">
        <v>2061</v>
      </c>
      <c r="AV47" s="10">
        <v>2062</v>
      </c>
      <c r="AW47" s="10">
        <v>2063</v>
      </c>
      <c r="AX47" s="10">
        <v>2064</v>
      </c>
      <c r="AY47" s="10">
        <v>2065</v>
      </c>
      <c r="AZ47" s="10">
        <v>2066</v>
      </c>
      <c r="BA47" s="10">
        <v>2067</v>
      </c>
      <c r="BB47" s="10">
        <v>2068</v>
      </c>
      <c r="BC47" s="10">
        <v>2069</v>
      </c>
      <c r="BD47" s="10">
        <v>2070</v>
      </c>
      <c r="BE47" s="10">
        <v>2071</v>
      </c>
      <c r="BF47" s="10">
        <v>2072</v>
      </c>
      <c r="BG47" s="10">
        <v>2073</v>
      </c>
      <c r="BH47" s="10">
        <v>2074</v>
      </c>
      <c r="BI47" s="10">
        <v>2075</v>
      </c>
      <c r="BJ47" s="10">
        <v>2076</v>
      </c>
      <c r="BK47" s="10">
        <v>2077</v>
      </c>
      <c r="BL47" s="10">
        <v>2078</v>
      </c>
      <c r="BM47" s="10">
        <v>2079</v>
      </c>
      <c r="BN47" s="10">
        <v>2080</v>
      </c>
      <c r="BO47" s="10">
        <v>2081</v>
      </c>
      <c r="BP47" s="10">
        <v>2082</v>
      </c>
      <c r="BQ47" s="10">
        <v>2083</v>
      </c>
      <c r="BR47" s="10">
        <v>2084</v>
      </c>
      <c r="BS47" s="10">
        <v>2085</v>
      </c>
      <c r="BT47" s="10">
        <v>2086</v>
      </c>
      <c r="BU47" s="10">
        <v>2087</v>
      </c>
      <c r="BV47" s="10">
        <v>2088</v>
      </c>
      <c r="BW47" s="10">
        <v>2089</v>
      </c>
      <c r="BX47" s="10">
        <v>2090</v>
      </c>
      <c r="BY47" s="10">
        <v>2091</v>
      </c>
      <c r="BZ47" s="10">
        <v>2092</v>
      </c>
      <c r="CA47" s="10">
        <v>2093</v>
      </c>
      <c r="CB47" s="10">
        <v>2094</v>
      </c>
      <c r="CC47" s="10">
        <v>2095</v>
      </c>
      <c r="CD47" s="10">
        <v>2096</v>
      </c>
      <c r="CE47" s="10">
        <v>2097</v>
      </c>
      <c r="CF47" s="10">
        <v>2098</v>
      </c>
      <c r="CG47" s="10">
        <v>2099</v>
      </c>
      <c r="CH47" s="10">
        <v>2100</v>
      </c>
    </row>
    <row r="48" spans="1:86" x14ac:dyDescent="0.25">
      <c r="A48" s="1"/>
      <c r="B48" s="1" t="s">
        <v>23</v>
      </c>
      <c r="C48" s="12">
        <v>144</v>
      </c>
      <c r="D48" s="12">
        <v>170</v>
      </c>
      <c r="E48" s="26">
        <v>222</v>
      </c>
      <c r="F48" s="12">
        <v>312</v>
      </c>
      <c r="G48" s="12">
        <v>407</v>
      </c>
      <c r="H48" s="12">
        <v>4174</v>
      </c>
      <c r="I48" s="22">
        <f t="shared" ref="I48:R48" si="30">I49*I11</f>
        <v>691.74531000000002</v>
      </c>
      <c r="J48" s="19">
        <f t="shared" si="30"/>
        <v>817.6429564199999</v>
      </c>
      <c r="K48" s="19">
        <f t="shared" si="30"/>
        <v>966.45397448843983</v>
      </c>
      <c r="L48" s="19">
        <f t="shared" si="30"/>
        <v>1142.3485978453359</v>
      </c>
      <c r="M48" s="19">
        <f t="shared" si="30"/>
        <v>1350.256042653187</v>
      </c>
      <c r="N48" s="19">
        <f t="shared" si="30"/>
        <v>1596.0026424160671</v>
      </c>
      <c r="O48" s="19">
        <f t="shared" si="30"/>
        <v>1886.4751233357911</v>
      </c>
      <c r="P48" s="19">
        <f t="shared" si="30"/>
        <v>2229.8135957829049</v>
      </c>
      <c r="Q48" s="19">
        <f t="shared" si="30"/>
        <v>2635.6396702153938</v>
      </c>
      <c r="R48" s="19">
        <f t="shared" si="30"/>
        <v>3115.3260901945951</v>
      </c>
    </row>
    <row r="49" spans="1:86" x14ac:dyDescent="0.25">
      <c r="A49" s="1"/>
      <c r="B49" s="14" t="s">
        <v>19</v>
      </c>
      <c r="C49" s="15">
        <f t="shared" ref="C49:H49" si="31">C48/C11</f>
        <v>2.7412906910336949E-2</v>
      </c>
      <c r="D49" s="15">
        <f t="shared" si="31"/>
        <v>2.6254826254826256E-2</v>
      </c>
      <c r="E49" s="15">
        <f t="shared" si="31"/>
        <v>3.2981726340811174E-2</v>
      </c>
      <c r="F49" s="15">
        <f t="shared" si="31"/>
        <v>3.1957390146471372E-2</v>
      </c>
      <c r="G49" s="15">
        <f t="shared" si="31"/>
        <v>2.4765729585006693E-2</v>
      </c>
      <c r="H49" s="15">
        <f t="shared" si="31"/>
        <v>0.17685691284267616</v>
      </c>
      <c r="I49" s="21">
        <v>0.03</v>
      </c>
      <c r="J49" s="56">
        <v>0.03</v>
      </c>
      <c r="K49" s="56">
        <v>0.03</v>
      </c>
      <c r="L49" s="56">
        <v>0.03</v>
      </c>
      <c r="M49" s="56">
        <v>0.03</v>
      </c>
      <c r="N49" s="56">
        <v>0.03</v>
      </c>
      <c r="O49" s="56">
        <v>0.03</v>
      </c>
      <c r="P49" s="56">
        <v>0.03</v>
      </c>
      <c r="Q49" s="56">
        <v>0.03</v>
      </c>
      <c r="R49" s="56">
        <v>0.03</v>
      </c>
    </row>
    <row r="50" spans="1:86" x14ac:dyDescent="0.25">
      <c r="A50" s="1"/>
      <c r="B50" s="1"/>
      <c r="C50" s="1"/>
      <c r="D50" s="1"/>
      <c r="F50" s="1"/>
      <c r="G50" s="1"/>
      <c r="H50" s="1"/>
      <c r="I50" s="13"/>
      <c r="J50" s="86"/>
      <c r="K50" s="86"/>
      <c r="L50" s="86"/>
      <c r="M50" s="86"/>
      <c r="N50" s="86"/>
      <c r="O50" s="87"/>
      <c r="P50" s="87"/>
      <c r="Q50" s="87"/>
      <c r="R50" s="87"/>
    </row>
    <row r="51" spans="1:86" x14ac:dyDescent="0.25">
      <c r="A51" s="1"/>
      <c r="B51" s="1" t="s">
        <v>24</v>
      </c>
      <c r="C51" s="12">
        <v>-113</v>
      </c>
      <c r="D51" s="12">
        <v>-163</v>
      </c>
      <c r="E51" s="26">
        <v>-217</v>
      </c>
      <c r="F51" s="12">
        <v>-294</v>
      </c>
      <c r="G51" s="12">
        <v>-301</v>
      </c>
      <c r="H51" s="12">
        <v>-450</v>
      </c>
      <c r="I51" s="22">
        <f t="shared" ref="I51:R51" si="32">I52*I11</f>
        <v>-461.16354000000001</v>
      </c>
      <c r="J51" s="83">
        <f t="shared" si="32"/>
        <v>-681.36913034999998</v>
      </c>
      <c r="K51" s="83">
        <f t="shared" si="32"/>
        <v>-966.45397448843983</v>
      </c>
      <c r="L51" s="83">
        <f t="shared" si="32"/>
        <v>-1142.3485978453359</v>
      </c>
      <c r="M51" s="83">
        <f t="shared" si="32"/>
        <v>-1350.256042653187</v>
      </c>
      <c r="N51" s="83">
        <f t="shared" si="32"/>
        <v>-1596.0026424160671</v>
      </c>
      <c r="O51" s="83">
        <f t="shared" si="32"/>
        <v>-1886.4751233357911</v>
      </c>
      <c r="P51" s="83">
        <f t="shared" si="32"/>
        <v>-2229.8135957829049</v>
      </c>
      <c r="Q51" s="83">
        <f t="shared" si="32"/>
        <v>-2635.6396702153938</v>
      </c>
      <c r="R51" s="83">
        <f t="shared" si="32"/>
        <v>-3115.3260901945951</v>
      </c>
    </row>
    <row r="52" spans="1:86" x14ac:dyDescent="0.25">
      <c r="A52" s="1"/>
      <c r="B52" s="14" t="s">
        <v>19</v>
      </c>
      <c r="C52" s="15">
        <f t="shared" ref="C52:H52" si="33">C51/C11</f>
        <v>-2.1511517228250523E-2</v>
      </c>
      <c r="D52" s="15">
        <f t="shared" si="33"/>
        <v>-2.5173745173745175E-2</v>
      </c>
      <c r="E52" s="15">
        <f t="shared" si="33"/>
        <v>-3.2238894666468579E-2</v>
      </c>
      <c r="F52" s="15">
        <f t="shared" si="33"/>
        <v>-3.0113694561098022E-2</v>
      </c>
      <c r="G52" s="15">
        <f t="shared" si="33"/>
        <v>-1.8315686990385785E-2</v>
      </c>
      <c r="H52" s="15">
        <f t="shared" si="33"/>
        <v>-1.9066988686920045E-2</v>
      </c>
      <c r="I52" s="21">
        <v>-0.02</v>
      </c>
      <c r="J52" s="56">
        <v>-2.5000000000000001E-2</v>
      </c>
      <c r="K52" s="56">
        <v>-0.03</v>
      </c>
      <c r="L52" s="56">
        <v>-0.03</v>
      </c>
      <c r="M52" s="56">
        <v>-0.03</v>
      </c>
      <c r="N52" s="56">
        <v>-0.03</v>
      </c>
      <c r="O52" s="56">
        <v>-0.03</v>
      </c>
      <c r="P52" s="56">
        <v>-0.03</v>
      </c>
      <c r="Q52" s="56">
        <v>-0.03</v>
      </c>
      <c r="R52" s="56">
        <v>-0.03</v>
      </c>
    </row>
    <row r="53" spans="1:86" x14ac:dyDescent="0.25">
      <c r="A53" s="1"/>
      <c r="B53" s="1"/>
      <c r="C53" s="1"/>
      <c r="D53" s="1"/>
      <c r="F53" s="1"/>
      <c r="G53" s="1"/>
      <c r="H53" s="1"/>
      <c r="I53" s="13"/>
      <c r="J53" s="86"/>
      <c r="K53" s="86"/>
      <c r="L53" s="86"/>
      <c r="M53" s="86"/>
      <c r="N53" s="86"/>
      <c r="O53" s="87"/>
      <c r="P53" s="87"/>
      <c r="Q53" s="87"/>
      <c r="R53" s="87"/>
    </row>
    <row r="54" spans="1:86" x14ac:dyDescent="0.25">
      <c r="A54" s="1"/>
      <c r="B54" s="1" t="s">
        <v>25</v>
      </c>
      <c r="C54" s="1">
        <v>-244</v>
      </c>
      <c r="D54" s="1">
        <v>-727</v>
      </c>
      <c r="E54" s="2">
        <v>-542</v>
      </c>
      <c r="F54" s="42">
        <v>-931</v>
      </c>
      <c r="G54" s="42">
        <v>-774</v>
      </c>
      <c r="H54" s="42">
        <v>-1846</v>
      </c>
      <c r="I54" s="22">
        <f t="shared" ref="I54:R54" si="34">I55*I11</f>
        <v>-1152.90885</v>
      </c>
      <c r="J54" s="83">
        <f t="shared" si="34"/>
        <v>-1090.1906085599999</v>
      </c>
      <c r="K54" s="83">
        <f t="shared" si="34"/>
        <v>-966.45397448843983</v>
      </c>
      <c r="L54" s="83">
        <f t="shared" si="34"/>
        <v>-761.56573189689061</v>
      </c>
      <c r="M54" s="83">
        <f t="shared" si="34"/>
        <v>-450.0853475510624</v>
      </c>
      <c r="N54" s="83">
        <f t="shared" si="34"/>
        <v>532.00088080535568</v>
      </c>
      <c r="O54" s="83">
        <f t="shared" si="34"/>
        <v>1257.6500822238609</v>
      </c>
      <c r="P54" s="83">
        <f t="shared" si="34"/>
        <v>1486.5423971886034</v>
      </c>
      <c r="Q54" s="83">
        <f t="shared" si="34"/>
        <v>1757.0931134769291</v>
      </c>
      <c r="R54" s="83">
        <f t="shared" si="34"/>
        <v>2076.8840601297302</v>
      </c>
    </row>
    <row r="55" spans="1:86" x14ac:dyDescent="0.25">
      <c r="A55" s="1"/>
      <c r="B55" s="14" t="s">
        <v>19</v>
      </c>
      <c r="C55" s="15">
        <f t="shared" ref="C55:H55" si="35">C54/C11</f>
        <v>-4.6449647820293163E-2</v>
      </c>
      <c r="D55" s="15">
        <f t="shared" si="35"/>
        <v>-0.11227799227799228</v>
      </c>
      <c r="E55" s="15">
        <f t="shared" si="35"/>
        <v>-8.0522953498737185E-2</v>
      </c>
      <c r="F55" s="15">
        <f t="shared" si="35"/>
        <v>-9.5360032776810405E-2</v>
      </c>
      <c r="G55" s="15">
        <f t="shared" si="35"/>
        <v>-4.7097480832420595E-2</v>
      </c>
      <c r="H55" s="15">
        <f t="shared" si="35"/>
        <v>-7.8217024702343124E-2</v>
      </c>
      <c r="I55" s="78">
        <v>-0.05</v>
      </c>
      <c r="J55" s="88">
        <v>-0.04</v>
      </c>
      <c r="K55" s="88">
        <v>-0.03</v>
      </c>
      <c r="L55" s="88">
        <v>-0.02</v>
      </c>
      <c r="M55" s="88">
        <v>-0.01</v>
      </c>
      <c r="N55" s="88">
        <v>0.01</v>
      </c>
      <c r="O55" s="88">
        <v>0.02</v>
      </c>
      <c r="P55" s="88">
        <v>0.02</v>
      </c>
      <c r="Q55" s="88">
        <v>0.02</v>
      </c>
      <c r="R55" s="88">
        <v>0.02</v>
      </c>
    </row>
    <row r="56" spans="1:86" x14ac:dyDescent="0.25">
      <c r="A56" s="1"/>
      <c r="B56" s="1"/>
      <c r="C56" s="1"/>
      <c r="D56" s="1"/>
      <c r="E56" s="1"/>
      <c r="F56" s="1"/>
      <c r="G56" s="1"/>
      <c r="H56" s="1"/>
      <c r="I56" s="13"/>
      <c r="J56" s="86"/>
      <c r="K56" s="86"/>
      <c r="L56" s="86"/>
      <c r="M56" s="86"/>
      <c r="N56" s="86"/>
      <c r="O56" s="86"/>
      <c r="P56" s="86"/>
      <c r="Q56" s="86"/>
      <c r="R56" s="87"/>
    </row>
    <row r="57" spans="1:86" x14ac:dyDescent="0.25">
      <c r="A57" s="1"/>
      <c r="B57" s="10" t="s">
        <v>26</v>
      </c>
      <c r="C57" s="12">
        <f>C41+C44</f>
        <v>145</v>
      </c>
      <c r="D57" s="12">
        <f t="shared" ref="D57:R57" si="36">D41+D44</f>
        <v>442</v>
      </c>
      <c r="E57" s="12">
        <f t="shared" si="36"/>
        <v>662</v>
      </c>
      <c r="F57" s="12">
        <f>F41+F44</f>
        <v>159</v>
      </c>
      <c r="G57" s="12">
        <f t="shared" si="36"/>
        <v>4161</v>
      </c>
      <c r="H57" s="12">
        <f t="shared" si="36"/>
        <v>1142</v>
      </c>
      <c r="I57" s="76">
        <f t="shared" si="36"/>
        <v>1789.3145352000001</v>
      </c>
      <c r="J57" s="85">
        <f t="shared" si="36"/>
        <v>2379.3410031822</v>
      </c>
      <c r="K57" s="85">
        <f t="shared" si="36"/>
        <v>3124.8678508459557</v>
      </c>
      <c r="L57" s="85">
        <f t="shared" si="36"/>
        <v>4432.3125596399032</v>
      </c>
      <c r="M57" s="85">
        <f t="shared" si="36"/>
        <v>6742.2785063149149</v>
      </c>
      <c r="N57" s="85">
        <f t="shared" si="36"/>
        <v>7969.3731944642286</v>
      </c>
      <c r="O57" s="85">
        <f t="shared" si="36"/>
        <v>10092.641909846483</v>
      </c>
      <c r="P57" s="85">
        <f t="shared" si="36"/>
        <v>11929.502737438543</v>
      </c>
      <c r="Q57" s="85">
        <f t="shared" si="36"/>
        <v>14100.672235652355</v>
      </c>
      <c r="R57" s="85">
        <f t="shared" si="36"/>
        <v>16666.994582541083</v>
      </c>
    </row>
    <row r="58" spans="1:86" x14ac:dyDescent="0.25">
      <c r="A58" s="1"/>
      <c r="B58" s="10" t="s">
        <v>42</v>
      </c>
      <c r="C58" s="12">
        <v>-7</v>
      </c>
      <c r="D58" s="12">
        <v>-2</v>
      </c>
      <c r="E58" s="12">
        <v>0</v>
      </c>
      <c r="F58" s="12">
        <v>5</v>
      </c>
      <c r="G58" s="12">
        <v>6</v>
      </c>
      <c r="H58" s="12">
        <v>14</v>
      </c>
      <c r="I58" s="76">
        <v>5</v>
      </c>
      <c r="J58" s="85">
        <v>5</v>
      </c>
      <c r="K58" s="85">
        <v>5</v>
      </c>
      <c r="L58" s="85">
        <v>5</v>
      </c>
      <c r="M58" s="85">
        <v>5</v>
      </c>
      <c r="N58" s="85">
        <v>5</v>
      </c>
      <c r="O58" s="85">
        <v>5</v>
      </c>
      <c r="P58" s="85">
        <v>5</v>
      </c>
      <c r="Q58" s="85">
        <v>5</v>
      </c>
      <c r="R58" s="85">
        <v>5</v>
      </c>
    </row>
    <row r="59" spans="1:86" x14ac:dyDescent="0.25">
      <c r="A59" s="1"/>
      <c r="B59" s="10" t="s">
        <v>27</v>
      </c>
      <c r="C59" s="12">
        <f t="shared" ref="C59:G59" si="37">C39-C44+C58</f>
        <v>-33</v>
      </c>
      <c r="D59" s="12">
        <f t="shared" si="37"/>
        <v>337</v>
      </c>
      <c r="E59" s="12">
        <f t="shared" si="37"/>
        <v>341</v>
      </c>
      <c r="F59" s="12">
        <f t="shared" si="37"/>
        <v>2490</v>
      </c>
      <c r="G59" s="12">
        <f t="shared" si="37"/>
        <v>3162</v>
      </c>
      <c r="H59" s="12">
        <f>H39-H44+H58</f>
        <v>1320</v>
      </c>
      <c r="I59" s="76">
        <f>I39-I44+I58</f>
        <v>2539.0936523000005</v>
      </c>
      <c r="J59" s="85">
        <f t="shared" ref="J59:R59" si="38">J39-J44+J58</f>
        <v>3008.4751265827995</v>
      </c>
      <c r="K59" s="85">
        <f t="shared" si="38"/>
        <v>3564.7721393657534</v>
      </c>
      <c r="L59" s="85">
        <f t="shared" si="38"/>
        <v>6139.4119704294535</v>
      </c>
      <c r="M59" s="85">
        <f t="shared" si="38"/>
        <v>6652.7605833291909</v>
      </c>
      <c r="N59" s="85">
        <f t="shared" si="38"/>
        <v>7862.653009495104</v>
      </c>
      <c r="O59" s="85">
        <f t="shared" si="38"/>
        <v>9248.7281043453768</v>
      </c>
      <c r="P59" s="85">
        <f t="shared" si="38"/>
        <v>10931.086619336231</v>
      </c>
      <c r="Q59" s="85">
        <f t="shared" si="38"/>
        <v>12919.634384055431</v>
      </c>
      <c r="R59" s="85">
        <f t="shared" si="38"/>
        <v>15270.097841953517</v>
      </c>
      <c r="S59" s="68">
        <f>R59*(1+$E$6)</f>
        <v>15117.396863533981</v>
      </c>
      <c r="T59" s="68">
        <f t="shared" ref="T59:CE59" si="39">S59*(1+$E$6)</f>
        <v>14966.222894898641</v>
      </c>
      <c r="U59" s="68">
        <f t="shared" si="39"/>
        <v>14816.560665949655</v>
      </c>
      <c r="V59" s="68">
        <f t="shared" si="39"/>
        <v>14668.395059290158</v>
      </c>
      <c r="W59" s="68">
        <f t="shared" si="39"/>
        <v>14521.711108697256</v>
      </c>
      <c r="X59" s="68">
        <f t="shared" si="39"/>
        <v>14376.493997610283</v>
      </c>
      <c r="Y59" s="68">
        <f t="shared" si="39"/>
        <v>14232.72905763418</v>
      </c>
      <c r="Z59" s="68">
        <f t="shared" si="39"/>
        <v>14090.401767057838</v>
      </c>
      <c r="AA59" s="68">
        <f t="shared" si="39"/>
        <v>13949.497749387259</v>
      </c>
      <c r="AB59" s="68">
        <f t="shared" si="39"/>
        <v>13810.002771893387</v>
      </c>
      <c r="AC59" s="68">
        <f t="shared" si="39"/>
        <v>13671.902744174453</v>
      </c>
      <c r="AD59" s="68">
        <f t="shared" si="39"/>
        <v>13535.183716732708</v>
      </c>
      <c r="AE59" s="68">
        <f t="shared" si="39"/>
        <v>13399.831879565381</v>
      </c>
      <c r="AF59" s="68">
        <f t="shared" si="39"/>
        <v>13265.833560769728</v>
      </c>
      <c r="AG59" s="68">
        <f t="shared" si="39"/>
        <v>13133.175225162031</v>
      </c>
      <c r="AH59" s="68">
        <f t="shared" si="39"/>
        <v>13001.84347291041</v>
      </c>
      <c r="AI59" s="68">
        <f t="shared" si="39"/>
        <v>12871.825038181307</v>
      </c>
      <c r="AJ59" s="68">
        <f t="shared" si="39"/>
        <v>12743.106787799494</v>
      </c>
      <c r="AK59" s="68">
        <f t="shared" si="39"/>
        <v>12615.675719921499</v>
      </c>
      <c r="AL59" s="68">
        <f t="shared" si="39"/>
        <v>12489.518962722284</v>
      </c>
      <c r="AM59" s="68">
        <f t="shared" si="39"/>
        <v>12364.623773095062</v>
      </c>
      <c r="AN59" s="68">
        <f t="shared" si="39"/>
        <v>12240.977535364111</v>
      </c>
      <c r="AO59" s="68">
        <f t="shared" si="39"/>
        <v>12118.56776001047</v>
      </c>
      <c r="AP59" s="68">
        <f t="shared" si="39"/>
        <v>11997.382082410366</v>
      </c>
      <c r="AQ59" s="68">
        <f t="shared" si="39"/>
        <v>11877.408261586263</v>
      </c>
      <c r="AR59" s="68">
        <f t="shared" si="39"/>
        <v>11758.6341789704</v>
      </c>
      <c r="AS59" s="68">
        <f t="shared" si="39"/>
        <v>11641.047837180697</v>
      </c>
      <c r="AT59" s="68">
        <f t="shared" si="39"/>
        <v>11524.63735880889</v>
      </c>
      <c r="AU59" s="68">
        <f t="shared" si="39"/>
        <v>11409.390985220802</v>
      </c>
      <c r="AV59" s="68">
        <f t="shared" si="39"/>
        <v>11295.297075368593</v>
      </c>
      <c r="AW59" s="68">
        <f t="shared" si="39"/>
        <v>11182.344104614907</v>
      </c>
      <c r="AX59" s="68">
        <f t="shared" si="39"/>
        <v>11070.520663568757</v>
      </c>
      <c r="AY59" s="68">
        <f t="shared" si="39"/>
        <v>10959.815456933069</v>
      </c>
      <c r="AZ59" s="68">
        <f t="shared" si="39"/>
        <v>10850.217302363739</v>
      </c>
      <c r="BA59" s="68">
        <f t="shared" si="39"/>
        <v>10741.715129340102</v>
      </c>
      <c r="BB59" s="68">
        <f t="shared" si="39"/>
        <v>10634.297978046701</v>
      </c>
      <c r="BC59" s="68">
        <f t="shared" si="39"/>
        <v>10527.954998266234</v>
      </c>
      <c r="BD59" s="68">
        <f t="shared" si="39"/>
        <v>10422.675448283571</v>
      </c>
      <c r="BE59" s="68">
        <f t="shared" si="39"/>
        <v>10318.448693800736</v>
      </c>
      <c r="BF59" s="68">
        <f t="shared" si="39"/>
        <v>10215.264206862728</v>
      </c>
      <c r="BG59" s="68">
        <f t="shared" si="39"/>
        <v>10113.111564794101</v>
      </c>
      <c r="BH59" s="68">
        <f t="shared" si="39"/>
        <v>10011.98044914616</v>
      </c>
      <c r="BI59" s="68">
        <f t="shared" si="39"/>
        <v>9911.8606446546983</v>
      </c>
      <c r="BJ59" s="68">
        <f t="shared" si="39"/>
        <v>9812.7420382081509</v>
      </c>
      <c r="BK59" s="68">
        <f t="shared" si="39"/>
        <v>9714.6146178260697</v>
      </c>
      <c r="BL59" s="68">
        <f t="shared" si="39"/>
        <v>9617.4684716478096</v>
      </c>
      <c r="BM59" s="68">
        <f t="shared" si="39"/>
        <v>9521.2937869313319</v>
      </c>
      <c r="BN59" s="68">
        <f t="shared" si="39"/>
        <v>9426.0808490620184</v>
      </c>
      <c r="BO59" s="68">
        <f t="shared" si="39"/>
        <v>9331.8200405713978</v>
      </c>
      <c r="BP59" s="68">
        <f t="shared" si="39"/>
        <v>9238.5018401656835</v>
      </c>
      <c r="BQ59" s="68">
        <f t="shared" si="39"/>
        <v>9146.1168217640261</v>
      </c>
      <c r="BR59" s="68">
        <f t="shared" si="39"/>
        <v>9054.655653546386</v>
      </c>
      <c r="BS59" s="68">
        <f t="shared" si="39"/>
        <v>8964.1090970109217</v>
      </c>
      <c r="BT59" s="68">
        <f t="shared" si="39"/>
        <v>8874.4680060408118</v>
      </c>
      <c r="BU59" s="68">
        <f t="shared" si="39"/>
        <v>8785.7233259804034</v>
      </c>
      <c r="BV59" s="68">
        <f t="shared" si="39"/>
        <v>8697.8660927206001</v>
      </c>
      <c r="BW59" s="68">
        <f t="shared" si="39"/>
        <v>8610.8874317933933</v>
      </c>
      <c r="BX59" s="68">
        <f t="shared" si="39"/>
        <v>8524.7785574754598</v>
      </c>
      <c r="BY59" s="68">
        <f t="shared" si="39"/>
        <v>8439.5307719007051</v>
      </c>
      <c r="BZ59" s="68">
        <f t="shared" si="39"/>
        <v>8355.1354641816979</v>
      </c>
      <c r="CA59" s="68">
        <f t="shared" si="39"/>
        <v>8271.584109539881</v>
      </c>
      <c r="CB59" s="68">
        <f t="shared" si="39"/>
        <v>8188.8682684444821</v>
      </c>
      <c r="CC59" s="68">
        <f t="shared" si="39"/>
        <v>8106.9795857600375</v>
      </c>
      <c r="CD59" s="68">
        <f t="shared" si="39"/>
        <v>8025.9097899024373</v>
      </c>
      <c r="CE59" s="68">
        <f t="shared" si="39"/>
        <v>7945.6506920034126</v>
      </c>
      <c r="CF59" s="68">
        <f t="shared" ref="CF59:CH59" si="40">CE59*(1+$E$6)</f>
        <v>7866.1941850833782</v>
      </c>
      <c r="CG59" s="68">
        <f t="shared" si="40"/>
        <v>7787.5322432325447</v>
      </c>
      <c r="CH59" s="68">
        <f t="shared" si="40"/>
        <v>7709.6569208002193</v>
      </c>
    </row>
    <row r="60" spans="1:86" x14ac:dyDescent="0.25">
      <c r="A60" s="1"/>
      <c r="B60" s="6"/>
      <c r="C60" s="24"/>
      <c r="D60" s="24"/>
      <c r="E60" s="24"/>
      <c r="F60" s="24"/>
      <c r="G60" s="24"/>
      <c r="H60" s="24"/>
      <c r="I60" s="13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10" t="s">
        <v>28</v>
      </c>
      <c r="C61" s="27">
        <f>C57+C48+C51-C54</f>
        <v>420</v>
      </c>
      <c r="D61" s="27">
        <f t="shared" ref="D61:F61" si="41">D57+D48+D51-D54</f>
        <v>1176</v>
      </c>
      <c r="E61" s="27">
        <f t="shared" si="41"/>
        <v>1209</v>
      </c>
      <c r="F61" s="27">
        <f t="shared" si="41"/>
        <v>1108</v>
      </c>
      <c r="G61" s="27">
        <f>G57+G48+G51-G54</f>
        <v>5041</v>
      </c>
      <c r="H61" s="27">
        <f>H57+H48+H51-H54</f>
        <v>6712</v>
      </c>
      <c r="I61" s="89">
        <f t="shared" ref="I61:R61" si="42">I57+I48+I51-I54</f>
        <v>3172.8051552000006</v>
      </c>
      <c r="J61" s="27">
        <f t="shared" si="42"/>
        <v>3605.8054378121997</v>
      </c>
      <c r="K61" s="27">
        <f t="shared" si="42"/>
        <v>4091.3218253343957</v>
      </c>
      <c r="L61" s="27">
        <f t="shared" si="42"/>
        <v>5193.8782915367947</v>
      </c>
      <c r="M61" s="27">
        <f t="shared" si="42"/>
        <v>7192.363853865977</v>
      </c>
      <c r="N61" s="27">
        <f t="shared" si="42"/>
        <v>7437.3723136588733</v>
      </c>
      <c r="O61" s="27">
        <f t="shared" si="42"/>
        <v>8834.9918276226217</v>
      </c>
      <c r="P61" s="27">
        <f t="shared" si="42"/>
        <v>10442.96034024994</v>
      </c>
      <c r="Q61" s="27">
        <f t="shared" si="42"/>
        <v>12343.579122175424</v>
      </c>
      <c r="R61" s="27">
        <f t="shared" si="42"/>
        <v>14590.110522411353</v>
      </c>
    </row>
    <row r="62" spans="1:86" x14ac:dyDescent="0.25">
      <c r="A62" s="1"/>
      <c r="B62" s="28" t="s">
        <v>29</v>
      </c>
      <c r="C62" s="1"/>
      <c r="D62" s="1"/>
      <c r="E62" s="1"/>
      <c r="F62" s="1"/>
      <c r="G62" s="1"/>
      <c r="H62" s="1"/>
      <c r="I62" s="79">
        <f t="shared" ref="I62:R62" si="43">I61/((1+$E$5)^I9)</f>
        <v>2913.7115569905277</v>
      </c>
      <c r="J62" s="19">
        <f t="shared" si="43"/>
        <v>3040.9452246963488</v>
      </c>
      <c r="K62" s="19">
        <f t="shared" si="43"/>
        <v>3168.6414920197826</v>
      </c>
      <c r="L62" s="19">
        <f t="shared" si="43"/>
        <v>3694.0637398286881</v>
      </c>
      <c r="M62" s="19">
        <f t="shared" si="43"/>
        <v>4697.7231610947974</v>
      </c>
      <c r="N62" s="19">
        <f t="shared" si="43"/>
        <v>4461.063930467034</v>
      </c>
      <c r="O62" s="19">
        <f t="shared" si="43"/>
        <v>4866.6288964246432</v>
      </c>
      <c r="P62" s="19">
        <f t="shared" si="43"/>
        <v>5282.6137942894211</v>
      </c>
      <c r="Q62" s="19">
        <f t="shared" si="43"/>
        <v>5734.155838370687</v>
      </c>
      <c r="R62" s="19">
        <f t="shared" si="43"/>
        <v>6224.2943472916713</v>
      </c>
    </row>
    <row r="63" spans="1:86" x14ac:dyDescent="0.25">
      <c r="A63" s="1"/>
      <c r="B63" s="29"/>
      <c r="C63" s="29"/>
      <c r="D63" s="29"/>
      <c r="E63" s="29"/>
      <c r="F63" s="29"/>
      <c r="G63" s="29"/>
      <c r="H63" s="29"/>
      <c r="I63" s="30"/>
      <c r="J63" s="29"/>
      <c r="K63" s="29"/>
      <c r="L63" s="29"/>
      <c r="M63" s="29"/>
      <c r="N63" s="29"/>
      <c r="O63" s="29"/>
      <c r="P63" s="29"/>
      <c r="Q63" s="29"/>
      <c r="R63" s="29"/>
    </row>
    <row r="64" spans="1:86" x14ac:dyDescent="0.25">
      <c r="A64" s="1"/>
      <c r="B64" s="1" t="s">
        <v>30</v>
      </c>
      <c r="C64" s="31">
        <f>(R61*(1+$E$6))/($E$5-$E$6)</f>
        <v>146015.87512517528</v>
      </c>
      <c r="D64" s="1"/>
      <c r="E64" s="1" t="s">
        <v>31</v>
      </c>
      <c r="F64" s="19">
        <f>NPV($E$5,I59:CH59)</f>
        <v>109292.68945938926</v>
      </c>
      <c r="G64" s="1"/>
      <c r="H64" s="1"/>
      <c r="I64" s="16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3" t="s">
        <v>32</v>
      </c>
      <c r="C65" s="32">
        <f>C64/((1+$E$5)^$R$9)</f>
        <v>62291.90551781148</v>
      </c>
      <c r="D65" s="17"/>
      <c r="E65" s="3"/>
      <c r="F65" s="3"/>
      <c r="G65" s="3"/>
      <c r="H65" s="17"/>
      <c r="I65" s="13"/>
      <c r="J65" s="1"/>
      <c r="L65" s="58" t="s">
        <v>55</v>
      </c>
      <c r="M65" s="59"/>
      <c r="N65" s="59"/>
      <c r="O65" s="59"/>
      <c r="P65" s="59"/>
      <c r="Q65" s="58"/>
    </row>
    <row r="66" spans="1:17" x14ac:dyDescent="0.25">
      <c r="A66" s="1"/>
      <c r="B66" s="6" t="s">
        <v>33</v>
      </c>
      <c r="C66" s="6"/>
      <c r="D66" s="1"/>
      <c r="E66" s="6"/>
      <c r="F66" s="6"/>
      <c r="G66" s="33" t="s">
        <v>34</v>
      </c>
      <c r="H66" s="33" t="s">
        <v>31</v>
      </c>
      <c r="I66" s="16"/>
      <c r="J66" s="1"/>
      <c r="K66" s="58"/>
      <c r="L66" s="60">
        <f>D72</f>
        <v>72.573071681773541</v>
      </c>
      <c r="M66" s="61">
        <v>-0.03</v>
      </c>
      <c r="N66" s="61">
        <v>-0.02</v>
      </c>
      <c r="O66" s="61">
        <v>-0.01</v>
      </c>
      <c r="P66" s="61">
        <v>0</v>
      </c>
      <c r="Q66" s="61">
        <v>0.01</v>
      </c>
    </row>
    <row r="67" spans="1:17" x14ac:dyDescent="0.25">
      <c r="A67" s="1"/>
      <c r="B67" s="34" t="s">
        <v>35</v>
      </c>
      <c r="C67" s="1"/>
      <c r="D67" s="42">
        <v>15658</v>
      </c>
      <c r="E67" s="1"/>
      <c r="F67" s="1"/>
      <c r="G67" s="31">
        <f>C65+SUM(I62:R62)</f>
        <v>106375.74749928509</v>
      </c>
      <c r="H67" s="19">
        <f>F64</f>
        <v>109292.68945938926</v>
      </c>
      <c r="I67" s="16"/>
      <c r="J67" s="1"/>
      <c r="K67" s="58"/>
      <c r="L67" s="62">
        <f>L68-2%</f>
        <v>4.8921999999999993E-2</v>
      </c>
      <c r="M67" s="63">
        <f t="dataTable" ref="M67:Q71" dt2D="1" dtr="1" r1="E6" r2="E5"/>
        <v>110.9737246163625</v>
      </c>
      <c r="N67" s="63">
        <v>121.82418024588407</v>
      </c>
      <c r="O67" s="63">
        <v>136.11352986792843</v>
      </c>
      <c r="P67" s="63">
        <v>155.66458698448798</v>
      </c>
      <c r="Q67" s="63">
        <v>183.83354759360412</v>
      </c>
    </row>
    <row r="68" spans="1:17" x14ac:dyDescent="0.25">
      <c r="A68" s="1"/>
      <c r="B68" s="35" t="s">
        <v>36</v>
      </c>
      <c r="C68" s="3"/>
      <c r="D68" s="36">
        <v>6577</v>
      </c>
      <c r="E68" s="3"/>
      <c r="F68" s="3"/>
      <c r="G68" s="3"/>
      <c r="H68" s="3"/>
      <c r="I68" s="16"/>
      <c r="J68" s="1"/>
      <c r="K68" s="59"/>
      <c r="L68" s="62">
        <f>L69-2%</f>
        <v>6.8921999999999997E-2</v>
      </c>
      <c r="M68" s="63">
        <v>83.101397926787598</v>
      </c>
      <c r="N68" s="64">
        <v>88.84368742201562</v>
      </c>
      <c r="O68" s="64">
        <v>95.999392200072364</v>
      </c>
      <c r="P68" s="64">
        <v>105.13721232362801</v>
      </c>
      <c r="Q68" s="63">
        <v>117.16045762140615</v>
      </c>
    </row>
    <row r="69" spans="1:17" x14ac:dyDescent="0.25">
      <c r="A69" s="1"/>
      <c r="B69" s="6" t="s">
        <v>37</v>
      </c>
      <c r="C69" s="6"/>
      <c r="D69" s="6"/>
      <c r="E69" s="6"/>
      <c r="F69" s="6"/>
      <c r="G69" s="37">
        <f>(G67+D67-D68)</f>
        <v>115456.74749928509</v>
      </c>
      <c r="H69" s="38">
        <f>(H67+D67-D68)</f>
        <v>118373.68945938926</v>
      </c>
      <c r="I69" s="16"/>
      <c r="J69"/>
      <c r="K69" s="58" t="s">
        <v>1</v>
      </c>
      <c r="L69" s="65">
        <v>8.8922000000000001E-2</v>
      </c>
      <c r="M69" s="63">
        <v>65.278728292615085</v>
      </c>
      <c r="N69" s="64">
        <v>68.594698502657153</v>
      </c>
      <c r="O69" s="66">
        <v>72.57324177804125</v>
      </c>
      <c r="P69" s="64">
        <v>77.429400190782417</v>
      </c>
      <c r="Q69" s="63">
        <v>83.478156702600288</v>
      </c>
    </row>
    <row r="70" spans="1:17" x14ac:dyDescent="0.25">
      <c r="A70" s="1"/>
      <c r="B70" s="3" t="s">
        <v>38</v>
      </c>
      <c r="C70" s="3"/>
      <c r="D70" s="42">
        <v>1611</v>
      </c>
      <c r="E70" s="3"/>
      <c r="F70" s="3"/>
      <c r="G70" s="3"/>
      <c r="H70" s="3"/>
      <c r="I70" s="16"/>
      <c r="J70" s="1"/>
      <c r="K70" s="58"/>
      <c r="L70" s="67">
        <f>L69+2%</f>
        <v>0.108922</v>
      </c>
      <c r="M70" s="63">
        <v>53.111265417867941</v>
      </c>
      <c r="N70" s="64">
        <v>55.150319579502352</v>
      </c>
      <c r="O70" s="64">
        <v>57.530718113248199</v>
      </c>
      <c r="P70" s="64">
        <v>60.344799691677764</v>
      </c>
      <c r="Q70" s="63">
        <v>63.720495275911389</v>
      </c>
    </row>
    <row r="71" spans="1:17" x14ac:dyDescent="0.25">
      <c r="A71" s="1"/>
      <c r="B71" s="18" t="s">
        <v>39</v>
      </c>
      <c r="C71" s="18"/>
      <c r="D71" s="18">
        <f>D70*$J$5</f>
        <v>144861.12</v>
      </c>
      <c r="E71" s="18"/>
      <c r="F71" s="18"/>
      <c r="G71" s="18"/>
      <c r="H71" s="39"/>
      <c r="I71" s="1"/>
      <c r="J71" s="1"/>
      <c r="K71" s="58"/>
      <c r="L71" s="67">
        <f>L70+2%</f>
        <v>0.12892200000000001</v>
      </c>
      <c r="M71" s="63">
        <v>44.400734963984249</v>
      </c>
      <c r="N71" s="63">
        <v>45.715171005127381</v>
      </c>
      <c r="O71" s="63">
        <v>47.218505565718218</v>
      </c>
      <c r="P71" s="63">
        <v>48.954343788094363</v>
      </c>
      <c r="Q71" s="63">
        <v>50.980597465702431</v>
      </c>
    </row>
    <row r="72" spans="1:17" x14ac:dyDescent="0.25">
      <c r="A72" s="1"/>
      <c r="B72" s="6" t="s">
        <v>40</v>
      </c>
      <c r="C72" s="6" t="s">
        <v>41</v>
      </c>
      <c r="D72" s="6">
        <f>(G72+H72)/2</f>
        <v>72.573071681773541</v>
      </c>
      <c r="F72" s="6"/>
      <c r="G72" s="40">
        <f>G69/D70</f>
        <v>71.667751396204281</v>
      </c>
      <c r="H72" s="40">
        <f>H69/D70</f>
        <v>73.478391967342802</v>
      </c>
      <c r="I72" s="16"/>
      <c r="J72" s="1"/>
    </row>
    <row r="73" spans="1:17" x14ac:dyDescent="0.25">
      <c r="A73"/>
      <c r="C73" s="1"/>
      <c r="D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topLeftCell="A13" workbookViewId="0">
      <selection activeCell="K14" sqref="K14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4" t="s">
        <v>1</v>
      </c>
      <c r="C2" s="2"/>
      <c r="D2" s="2"/>
      <c r="E2" s="2"/>
      <c r="F2" s="2"/>
      <c r="G2" s="2"/>
      <c r="H2" s="2"/>
      <c r="I2" s="2"/>
      <c r="J2" s="2"/>
      <c r="K2" s="2"/>
      <c r="L2" s="45"/>
    </row>
    <row r="3" spans="1:14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2"/>
    </row>
    <row r="4" spans="1:14" x14ac:dyDescent="0.25">
      <c r="A4" s="47" t="s">
        <v>44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45</v>
      </c>
      <c r="C6" s="2"/>
      <c r="D6" s="48">
        <v>0.16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46</v>
      </c>
      <c r="C7" s="2"/>
      <c r="D7" s="48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47</v>
      </c>
      <c r="C8" s="2"/>
      <c r="D8" s="49">
        <v>0.82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48</v>
      </c>
      <c r="C9" s="2"/>
      <c r="D9" s="48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37</v>
      </c>
      <c r="B12" s="2"/>
      <c r="C12" s="26">
        <f>'AMD DCF'!D71</f>
        <v>144861.12</v>
      </c>
      <c r="D12" s="2"/>
      <c r="E12" s="2" t="s">
        <v>36</v>
      </c>
      <c r="F12" s="2"/>
      <c r="G12" s="26">
        <f>'AMD DCF'!D68</f>
        <v>6577</v>
      </c>
      <c r="H12" s="2"/>
      <c r="I12" s="2" t="s">
        <v>49</v>
      </c>
      <c r="J12" s="2"/>
      <c r="K12" s="26">
        <f>G12+C12</f>
        <v>151438.12</v>
      </c>
      <c r="L12" s="2"/>
    </row>
    <row r="13" spans="1:14" x14ac:dyDescent="0.25">
      <c r="A13" s="2" t="s">
        <v>50</v>
      </c>
      <c r="B13" s="2"/>
      <c r="C13" s="50">
        <f>C12/K12</f>
        <v>0.95656971969805227</v>
      </c>
      <c r="D13" s="2"/>
      <c r="E13" s="2" t="s">
        <v>51</v>
      </c>
      <c r="F13" s="2"/>
      <c r="G13" s="51">
        <f>G12/K12</f>
        <v>4.3430280301947753E-2</v>
      </c>
      <c r="H13" s="2"/>
      <c r="I13" s="2"/>
      <c r="J13" s="2"/>
      <c r="K13" s="2"/>
      <c r="L13" s="2"/>
      <c r="M13" s="42"/>
    </row>
    <row r="14" spans="1:14" x14ac:dyDescent="0.25">
      <c r="A14" s="2" t="s">
        <v>52</v>
      </c>
      <c r="B14" s="2"/>
      <c r="C14" s="52">
        <f>D7+D8*(D9)</f>
        <v>9.0899999999999995E-2</v>
      </c>
      <c r="D14" s="2"/>
      <c r="E14" s="2" t="s">
        <v>53</v>
      </c>
      <c r="F14" s="2"/>
      <c r="G14" s="53">
        <v>5.3999999999999999E-2</v>
      </c>
      <c r="H14" s="2"/>
      <c r="I14" s="54" t="s">
        <v>1</v>
      </c>
      <c r="J14" s="55"/>
      <c r="K14" s="82">
        <f>C13*C14+G14*G13*(1-D6)</f>
        <v>8.8922185035049298E-2</v>
      </c>
      <c r="L14" s="2"/>
    </row>
    <row r="15" spans="1:14" x14ac:dyDescent="0.25">
      <c r="D15" s="42"/>
      <c r="G15" s="42"/>
      <c r="J15" s="42"/>
      <c r="M15" s="42"/>
    </row>
    <row r="16" spans="1:14" x14ac:dyDescent="0.25">
      <c r="A16" t="s">
        <v>43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4:13" x14ac:dyDescent="0.25">
      <c r="D17" s="42"/>
      <c r="G17" s="42"/>
      <c r="J17" s="42"/>
      <c r="M17" s="42"/>
    </row>
    <row r="21" spans="4:13" x14ac:dyDescent="0.25">
      <c r="D21" s="42"/>
      <c r="E21" s="42"/>
      <c r="F21" s="42"/>
      <c r="G21" s="42"/>
      <c r="H21" s="42"/>
      <c r="I21" s="42"/>
      <c r="J21" s="42"/>
      <c r="K21" s="42"/>
      <c r="L21" s="42"/>
      <c r="M21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AMD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2023-05-05T20:21:38Z</dcterms:modified>
</cp:coreProperties>
</file>