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1\Downloads\"/>
    </mc:Choice>
  </mc:AlternateContent>
  <xr:revisionPtr revIDLastSave="0" documentId="13_ncr:1_{A62F59E9-4958-4D66-8D7B-A1E753640903}" xr6:coauthVersionLast="47" xr6:coauthVersionMax="47" xr10:uidLastSave="{00000000-0000-0000-0000-000000000000}"/>
  <bookViews>
    <workbookView xWindow="-120" yWindow="-120" windowWidth="20730" windowHeight="11040" xr2:uid="{2DCB3FCC-EE91-47A7-B5A5-B3B0D77DA663}"/>
  </bookViews>
  <sheets>
    <sheet name="GOOGL DCF" sheetId="1" r:id="rId1"/>
    <sheet name="WACC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3" i="3"/>
  <c r="G13" i="3"/>
  <c r="J9" i="1"/>
  <c r="K9" i="1" s="1"/>
  <c r="L9" i="1" s="1"/>
  <c r="M9" i="1" s="1"/>
  <c r="N9" i="1" s="1"/>
  <c r="O9" i="1" s="1"/>
  <c r="P9" i="1" s="1"/>
  <c r="Q9" i="1" s="1"/>
  <c r="R9" i="1" s="1"/>
  <c r="K12" i="3"/>
  <c r="C12" i="3"/>
  <c r="D62" i="1"/>
  <c r="G12" i="3"/>
  <c r="I11" i="1"/>
  <c r="I16" i="1" s="1"/>
  <c r="K14" i="3" l="1"/>
  <c r="E5" i="1" s="1"/>
  <c r="J11" i="1"/>
  <c r="K11" i="1" l="1"/>
  <c r="K16" i="1" s="1"/>
  <c r="J24" i="1"/>
  <c r="J43" i="1"/>
  <c r="J33" i="1"/>
  <c r="J36" i="1" s="1"/>
  <c r="J40" i="1"/>
  <c r="D61" i="1"/>
  <c r="J16" i="1"/>
  <c r="N17" i="1"/>
  <c r="D47" i="1"/>
  <c r="E47" i="1"/>
  <c r="F47" i="1"/>
  <c r="G47" i="1"/>
  <c r="H47" i="1"/>
  <c r="C47" i="1"/>
  <c r="D44" i="1"/>
  <c r="E44" i="1"/>
  <c r="F44" i="1"/>
  <c r="G44" i="1"/>
  <c r="H44" i="1"/>
  <c r="C44" i="1"/>
  <c r="D41" i="1"/>
  <c r="E41" i="1"/>
  <c r="C41" i="1"/>
  <c r="E12" i="1"/>
  <c r="F12" i="1"/>
  <c r="G12" i="1"/>
  <c r="H12" i="1"/>
  <c r="D12" i="1"/>
  <c r="C50" i="1"/>
  <c r="D50" i="1"/>
  <c r="E50" i="1"/>
  <c r="C16" i="1"/>
  <c r="C17" i="1" s="1"/>
  <c r="D16" i="1"/>
  <c r="D17" i="1" s="1"/>
  <c r="E16" i="1"/>
  <c r="E17" i="1" s="1"/>
  <c r="D24" i="1"/>
  <c r="D25" i="1" s="1"/>
  <c r="E24" i="1"/>
  <c r="C24" i="1"/>
  <c r="C25" i="1" s="1"/>
  <c r="H40" i="1"/>
  <c r="H41" i="1" s="1"/>
  <c r="G40" i="1"/>
  <c r="G41" i="1" s="1"/>
  <c r="F40" i="1"/>
  <c r="F41" i="1" s="1"/>
  <c r="G16" i="1"/>
  <c r="G17" i="1" s="1"/>
  <c r="H16" i="1"/>
  <c r="H17" i="1" s="1"/>
  <c r="G24" i="1"/>
  <c r="H24" i="1"/>
  <c r="F24" i="1"/>
  <c r="F25" i="1" s="1"/>
  <c r="F16" i="1"/>
  <c r="F17" i="1" s="1"/>
  <c r="J27" i="1" l="1"/>
  <c r="L11" i="1"/>
  <c r="K24" i="1"/>
  <c r="K19" i="1" s="1"/>
  <c r="K33" i="1"/>
  <c r="K36" i="1" s="1"/>
  <c r="K49" i="1" s="1"/>
  <c r="K40" i="1"/>
  <c r="K43" i="1"/>
  <c r="G27" i="1"/>
  <c r="G25" i="1"/>
  <c r="H27" i="1"/>
  <c r="H25" i="1"/>
  <c r="E27" i="1"/>
  <c r="E25" i="1"/>
  <c r="I47" i="1"/>
  <c r="J49" i="1"/>
  <c r="K20" i="1"/>
  <c r="J14" i="1"/>
  <c r="K14" i="1"/>
  <c r="O17" i="1"/>
  <c r="C27" i="1"/>
  <c r="C29" i="1" s="1"/>
  <c r="D27" i="1"/>
  <c r="H33" i="1"/>
  <c r="F27" i="1"/>
  <c r="F29" i="1" s="1"/>
  <c r="K21" i="1" l="1"/>
  <c r="K27" i="1"/>
  <c r="M11" i="1"/>
  <c r="L24" i="1"/>
  <c r="L20" i="1" s="1"/>
  <c r="L43" i="1"/>
  <c r="L40" i="1"/>
  <c r="L33" i="1"/>
  <c r="L16" i="1"/>
  <c r="E33" i="1"/>
  <c r="E29" i="1"/>
  <c r="H31" i="1"/>
  <c r="H50" i="1" s="1"/>
  <c r="H29" i="1"/>
  <c r="G33" i="1"/>
  <c r="G49" i="1" s="1"/>
  <c r="G52" i="1" s="1"/>
  <c r="G29" i="1"/>
  <c r="D33" i="1"/>
  <c r="D49" i="1" s="1"/>
  <c r="D52" i="1" s="1"/>
  <c r="D29" i="1"/>
  <c r="J47" i="1"/>
  <c r="J46" i="1" s="1"/>
  <c r="G31" i="1"/>
  <c r="G50" i="1" s="1"/>
  <c r="G37" i="1"/>
  <c r="J52" i="1"/>
  <c r="J53" i="1" s="1"/>
  <c r="J19" i="1"/>
  <c r="J20" i="1"/>
  <c r="J21" i="1"/>
  <c r="L19" i="1"/>
  <c r="L21" i="1"/>
  <c r="K47" i="1"/>
  <c r="K46" i="1" s="1"/>
  <c r="K52" i="1" s="1"/>
  <c r="K53" i="1" s="1"/>
  <c r="H49" i="1"/>
  <c r="H52" i="1" s="1"/>
  <c r="H37" i="1"/>
  <c r="H34" i="1"/>
  <c r="C33" i="1"/>
  <c r="C49" i="1" s="1"/>
  <c r="C52" i="1" s="1"/>
  <c r="D37" i="1"/>
  <c r="P17" i="1"/>
  <c r="F33" i="1"/>
  <c r="F31" i="1"/>
  <c r="F50" i="1" s="1"/>
  <c r="D34" i="1" l="1"/>
  <c r="G34" i="1"/>
  <c r="I29" i="1"/>
  <c r="L36" i="1"/>
  <c r="L49" i="1" s="1"/>
  <c r="N11" i="1"/>
  <c r="M33" i="1"/>
  <c r="M36" i="1" s="1"/>
  <c r="M49" i="1" s="1"/>
  <c r="M40" i="1"/>
  <c r="M16" i="1"/>
  <c r="M43" i="1"/>
  <c r="M24" i="1"/>
  <c r="L27" i="1"/>
  <c r="L14" i="1"/>
  <c r="E49" i="1"/>
  <c r="E52" i="1" s="1"/>
  <c r="E34" i="1"/>
  <c r="E37" i="1"/>
  <c r="L47" i="1"/>
  <c r="L46" i="1" s="1"/>
  <c r="Q17" i="1"/>
  <c r="C37" i="1"/>
  <c r="C34" i="1"/>
  <c r="F49" i="1"/>
  <c r="F52" i="1" s="1"/>
  <c r="F37" i="1"/>
  <c r="F34" i="1"/>
  <c r="J29" i="1" l="1"/>
  <c r="L52" i="1"/>
  <c r="L53" i="1" s="1"/>
  <c r="M19" i="1"/>
  <c r="M20" i="1"/>
  <c r="M21" i="1"/>
  <c r="M27" i="1"/>
  <c r="M14" i="1"/>
  <c r="O11" i="1"/>
  <c r="N16" i="1"/>
  <c r="N14" i="1" s="1"/>
  <c r="N24" i="1"/>
  <c r="N43" i="1"/>
  <c r="N40" i="1"/>
  <c r="N33" i="1"/>
  <c r="M47" i="1"/>
  <c r="R17" i="1"/>
  <c r="J28" i="1" l="1"/>
  <c r="J31" i="1" s="1"/>
  <c r="J50" i="1" s="1"/>
  <c r="K29" i="1"/>
  <c r="N36" i="1"/>
  <c r="N49" i="1" s="1"/>
  <c r="N27" i="1"/>
  <c r="N20" i="1"/>
  <c r="N21" i="1"/>
  <c r="N19" i="1"/>
  <c r="P11" i="1"/>
  <c r="O43" i="1"/>
  <c r="O24" i="1"/>
  <c r="O16" i="1"/>
  <c r="O33" i="1"/>
  <c r="O36" i="1" s="1"/>
  <c r="O49" i="1" s="1"/>
  <c r="O40" i="1"/>
  <c r="M46" i="1"/>
  <c r="M52" i="1" s="1"/>
  <c r="M53" i="1" s="1"/>
  <c r="N47" i="1"/>
  <c r="L29" i="1" l="1"/>
  <c r="K28" i="1"/>
  <c r="K31" i="1" s="1"/>
  <c r="K50" i="1" s="1"/>
  <c r="M29" i="1"/>
  <c r="M28" i="1" s="1"/>
  <c r="M31" i="1" s="1"/>
  <c r="M50" i="1" s="1"/>
  <c r="O27" i="1"/>
  <c r="O14" i="1"/>
  <c r="O19" i="1"/>
  <c r="O20" i="1"/>
  <c r="O21" i="1"/>
  <c r="Q11" i="1"/>
  <c r="P40" i="1"/>
  <c r="P33" i="1"/>
  <c r="P36" i="1" s="1"/>
  <c r="P49" i="1" s="1"/>
  <c r="P16" i="1"/>
  <c r="P24" i="1"/>
  <c r="P43" i="1"/>
  <c r="N46" i="1"/>
  <c r="N52" i="1" s="1"/>
  <c r="N53" i="1" s="1"/>
  <c r="O47" i="1"/>
  <c r="P47" i="1" s="1"/>
  <c r="P46" i="1" s="1"/>
  <c r="L28" i="1" l="1"/>
  <c r="L31" i="1" s="1"/>
  <c r="L50" i="1" s="1"/>
  <c r="N29" i="1"/>
  <c r="P27" i="1"/>
  <c r="P52" i="1"/>
  <c r="P53" i="1" s="1"/>
  <c r="P14" i="1"/>
  <c r="P20" i="1"/>
  <c r="P21" i="1"/>
  <c r="P19" i="1"/>
  <c r="R11" i="1"/>
  <c r="Q43" i="1"/>
  <c r="Q24" i="1"/>
  <c r="Q33" i="1"/>
  <c r="Q36" i="1" s="1"/>
  <c r="Q49" i="1" s="1"/>
  <c r="Q40" i="1"/>
  <c r="Q16" i="1"/>
  <c r="Q14" i="1" s="1"/>
  <c r="O46" i="1"/>
  <c r="O52" i="1" s="1"/>
  <c r="O53" i="1" s="1"/>
  <c r="Q47" i="1"/>
  <c r="N28" i="1" l="1"/>
  <c r="N31" i="1" s="1"/>
  <c r="N50" i="1" s="1"/>
  <c r="O29" i="1"/>
  <c r="Q19" i="1"/>
  <c r="Q20" i="1"/>
  <c r="Q21" i="1"/>
  <c r="R24" i="1"/>
  <c r="R43" i="1"/>
  <c r="R40" i="1"/>
  <c r="R33" i="1"/>
  <c r="R36" i="1" s="1"/>
  <c r="R49" i="1" s="1"/>
  <c r="Q27" i="1"/>
  <c r="Q46" i="1"/>
  <c r="Q52" i="1" s="1"/>
  <c r="Q53" i="1" s="1"/>
  <c r="R47" i="1"/>
  <c r="O28" i="1" l="1"/>
  <c r="O31" i="1" s="1"/>
  <c r="O50" i="1" s="1"/>
  <c r="P29" i="1"/>
  <c r="P28" i="1" s="1"/>
  <c r="P31" i="1" s="1"/>
  <c r="P50" i="1" s="1"/>
  <c r="D39" i="1"/>
  <c r="E39" i="1" s="1"/>
  <c r="Q29" i="1" l="1"/>
  <c r="R16" i="1"/>
  <c r="R27" i="1" s="1"/>
  <c r="R46" i="1"/>
  <c r="R52" i="1" s="1"/>
  <c r="C55" i="1" s="1"/>
  <c r="C56" i="1" s="1"/>
  <c r="Q28" i="1" l="1"/>
  <c r="Q31" i="1" s="1"/>
  <c r="Q50" i="1" s="1"/>
  <c r="R29" i="1"/>
  <c r="R28" i="1" s="1"/>
  <c r="R31" i="1" s="1"/>
  <c r="R20" i="1"/>
  <c r="R21" i="1"/>
  <c r="R19" i="1"/>
  <c r="R53" i="1"/>
  <c r="R14" i="1"/>
  <c r="R50" i="1" l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I24" i="1" l="1"/>
  <c r="I33" i="1"/>
  <c r="I46" i="1"/>
  <c r="I43" i="1"/>
  <c r="I40" i="1"/>
  <c r="I20" i="1" l="1"/>
  <c r="I27" i="1"/>
  <c r="I28" i="1" s="1"/>
  <c r="I21" i="1"/>
  <c r="I36" i="1"/>
  <c r="I49" i="1" s="1"/>
  <c r="I52" i="1" s="1"/>
  <c r="I53" i="1" s="1"/>
  <c r="G58" i="1" s="1"/>
  <c r="I14" i="1"/>
  <c r="I19" i="1"/>
  <c r="G60" i="1" l="1"/>
  <c r="G63" i="1" s="1"/>
  <c r="I31" i="1"/>
  <c r="I50" i="1" s="1"/>
  <c r="F55" i="1" s="1"/>
  <c r="H58" i="1" s="1"/>
  <c r="H60" i="1" l="1"/>
  <c r="H63" i="1" s="1"/>
  <c r="D63" i="1" l="1"/>
  <c r="J6" i="1" s="1"/>
  <c r="N5" i="1" s="1"/>
</calcChain>
</file>

<file path=xl/sharedStrings.xml><?xml version="1.0" encoding="utf-8"?>
<sst xmlns="http://schemas.openxmlformats.org/spreadsheetml/2006/main" count="65" uniqueCount="57">
  <si>
    <t>WACC</t>
  </si>
  <si>
    <t>Income Statement</t>
  </si>
  <si>
    <t>Revenue</t>
  </si>
  <si>
    <t>% growth</t>
  </si>
  <si>
    <t>EBIT</t>
  </si>
  <si>
    <t>Taxes</t>
  </si>
  <si>
    <t>D&amp;A</t>
  </si>
  <si>
    <t>CapEx</t>
  </si>
  <si>
    <t>DCF</t>
  </si>
  <si>
    <t>EBIAT</t>
  </si>
  <si>
    <t>Enterprise Value</t>
  </si>
  <si>
    <t>Equity Value</t>
  </si>
  <si>
    <t>Shares</t>
  </si>
  <si>
    <t>Share Price</t>
  </si>
  <si>
    <t>% EBIT</t>
  </si>
  <si>
    <t>% Revenue</t>
  </si>
  <si>
    <t>Cash Flow Statement</t>
  </si>
  <si>
    <t>change NWC</t>
  </si>
  <si>
    <t xml:space="preserve">Valuation Assumptions: </t>
  </si>
  <si>
    <t>Terminal rate</t>
  </si>
  <si>
    <t>COGS</t>
  </si>
  <si>
    <t>Gross Profit</t>
  </si>
  <si>
    <t>% Gross Margin</t>
  </si>
  <si>
    <t>Opex</t>
  </si>
  <si>
    <t>R&amp;D</t>
  </si>
  <si>
    <t>S&amp;M</t>
  </si>
  <si>
    <t>G&amp;A</t>
  </si>
  <si>
    <t>Operating income</t>
  </si>
  <si>
    <t>Other income</t>
  </si>
  <si>
    <t>Pre-tax income</t>
  </si>
  <si>
    <t>Net income</t>
  </si>
  <si>
    <t>FCF</t>
  </si>
  <si>
    <t xml:space="preserve">Other </t>
  </si>
  <si>
    <t>Alphabet Inc. DCF</t>
  </si>
  <si>
    <t>Present value FCF</t>
  </si>
  <si>
    <t xml:space="preserve">Upside/Downside : </t>
  </si>
  <si>
    <t>Current price   :</t>
  </si>
  <si>
    <t xml:space="preserve">Implied price   : </t>
  </si>
  <si>
    <t>Cash</t>
  </si>
  <si>
    <t>Debt</t>
  </si>
  <si>
    <t>PV of TV</t>
  </si>
  <si>
    <t>TV</t>
  </si>
  <si>
    <t>DNI</t>
  </si>
  <si>
    <t>Mean:</t>
  </si>
  <si>
    <t>% Rev</t>
  </si>
  <si>
    <t>% Opinc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</si>
  <si>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</si>
  <si>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</si>
  <si>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</si>
  <si>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</si>
  <si>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</si>
  <si>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</si>
  <si>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</si>
  <si>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</si>
  <si>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 xml:space="preserve">Current market cap </t>
  </si>
  <si>
    <t xml:space="preserve">Assumpions: </t>
  </si>
  <si>
    <t>D+E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</si>
</sst>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81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3" fontId="3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7" fontId="3" fillId="2" borderId="0" xfId="0" applyNumberFormat="1" applyFont="1" applyFill="1"/>
    <xf numFmtId="0" fontId="3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0" fontId="3" fillId="2" borderId="0" xfId="0" quotePrefix="1" applyFont="1" applyFill="1"/>
    <xf numFmtId="0" fontId="3" fillId="2" borderId="1" xfId="0" quotePrefix="1" applyFont="1" applyFill="1" applyBorder="1"/>
    <xf numFmtId="0" fontId="7" fillId="2" borderId="0" xfId="0" applyFont="1" applyFill="1"/>
    <xf numFmtId="0" fontId="5" fillId="3" borderId="0" xfId="0" applyFont="1" applyFill="1"/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5" fillId="4" borderId="0" xfId="0" applyFont="1" applyFill="1"/>
    <xf numFmtId="0" fontId="3" fillId="2" borderId="9" xfId="0" applyFont="1" applyFill="1" applyBorder="1"/>
    <xf numFmtId="0" fontId="5" fillId="4" borderId="9" xfId="0" applyFont="1" applyFill="1" applyBorder="1"/>
    <xf numFmtId="164" fontId="3" fillId="2" borderId="0" xfId="1" applyNumberFormat="1" applyFont="1" applyFill="1"/>
    <xf numFmtId="3" fontId="3" fillId="2" borderId="10" xfId="0" applyNumberFormat="1" applyFont="1" applyFill="1" applyBorder="1"/>
    <xf numFmtId="3" fontId="3" fillId="0" borderId="0" xfId="0" applyNumberFormat="1" applyFont="1"/>
    <xf numFmtId="164" fontId="4" fillId="2" borderId="9" xfId="1" applyNumberFormat="1" applyFont="1" applyFill="1" applyBorder="1"/>
    <xf numFmtId="1" fontId="0" fillId="2" borderId="0" xfId="0" applyNumberFormat="1" applyFill="1"/>
    <xf numFmtId="164" fontId="6" fillId="2" borderId="0" xfId="0" applyNumberFormat="1" applyFont="1" applyFill="1"/>
    <xf numFmtId="0" fontId="5" fillId="3" borderId="9" xfId="0" applyFont="1" applyFill="1" applyBorder="1"/>
    <xf numFmtId="0" fontId="3" fillId="2" borderId="7" xfId="0" applyFont="1" applyFill="1" applyBorder="1"/>
    <xf numFmtId="164" fontId="8" fillId="2" borderId="9" xfId="1" applyNumberFormat="1" applyFont="1" applyFill="1" applyBorder="1"/>
    <xf numFmtId="164" fontId="8" fillId="2" borderId="0" xfId="1" applyNumberFormat="1" applyFont="1" applyFill="1"/>
    <xf numFmtId="3" fontId="3" fillId="2" borderId="9" xfId="0" applyNumberFormat="1" applyFont="1" applyFill="1" applyBorder="1"/>
    <xf numFmtId="3" fontId="3" fillId="0" borderId="9" xfId="0" applyNumberFormat="1" applyFont="1" applyBorder="1"/>
    <xf numFmtId="164" fontId="3" fillId="2" borderId="9" xfId="0" applyNumberFormat="1" applyFont="1" applyFill="1" applyBorder="1"/>
    <xf numFmtId="164" fontId="3" fillId="2" borderId="0" xfId="0" applyNumberFormat="1" applyFont="1" applyFill="1"/>
    <xf numFmtId="0" fontId="0" fillId="2" borderId="4" xfId="0" applyFill="1" applyBorder="1"/>
    <xf numFmtId="0" fontId="3" fillId="2" borderId="8" xfId="0" applyFont="1" applyFill="1" applyBorder="1"/>
    <xf numFmtId="0" fontId="3" fillId="4" borderId="0" xfId="0" applyFont="1" applyFill="1"/>
    <xf numFmtId="0" fontId="3" fillId="2" borderId="6" xfId="0" applyFont="1" applyFill="1" applyBorder="1"/>
    <xf numFmtId="0" fontId="3" fillId="2" borderId="5" xfId="0" applyFont="1" applyFill="1" applyBorder="1"/>
    <xf numFmtId="3" fontId="0" fillId="2" borderId="4" xfId="0" applyNumberFormat="1" applyFill="1" applyBorder="1"/>
    <xf numFmtId="3" fontId="5" fillId="2" borderId="0" xfId="0" applyNumberFormat="1" applyFont="1" applyFill="1"/>
    <xf numFmtId="0" fontId="3" fillId="2" borderId="0" xfId="0" applyFont="1" applyFill="1" applyAlignment="1">
      <alignment horizontal="left"/>
    </xf>
    <xf numFmtId="10" fontId="3" fillId="2" borderId="0" xfId="1" applyNumberFormat="1" applyFont="1" applyFill="1"/>
    <xf numFmtId="0" fontId="0" fillId="5" borderId="0" xfId="0" applyFill="1"/>
    <xf numFmtId="0" fontId="5" fillId="5" borderId="0" xfId="0" applyFont="1" applyFill="1"/>
    <xf numFmtId="3" fontId="2" fillId="2" borderId="0" xfId="0" applyNumberFormat="1" applyFont="1" applyFill="1"/>
    <xf numFmtId="1" fontId="3" fillId="2" borderId="9" xfId="0" applyNumberFormat="1" applyFont="1" applyFill="1" applyBorder="1"/>
    <xf numFmtId="1" fontId="3" fillId="2" borderId="0" xfId="0" applyNumberFormat="1" applyFont="1" applyFill="1"/>
    <xf numFmtId="1" fontId="0" fillId="2" borderId="4" xfId="0" applyNumberFormat="1" applyFill="1" applyBorder="1"/>
    <xf numFmtId="2" fontId="5" fillId="2" borderId="0" xfId="0" applyNumberFormat="1" applyFont="1" applyFill="1"/>
    <xf numFmtId="2" fontId="2" fillId="2" borderId="0" xfId="0" applyNumberFormat="1" applyFont="1" applyFill="1"/>
    <xf numFmtId="0" fontId="3" fillId="2" borderId="11" xfId="0" applyFont="1" applyFill="1" applyBorder="1"/>
    <xf numFmtId="164" fontId="4" fillId="2" borderId="11" xfId="1" applyNumberFormat="1" applyFont="1" applyFill="1" applyBorder="1"/>
    <xf numFmtId="1" fontId="3" fillId="0" borderId="11" xfId="0" applyNumberFormat="1" applyFont="1" applyBorder="1"/>
    <xf numFmtId="1" fontId="3" fillId="0" borderId="0" xfId="0" applyNumberFormat="1" applyFont="1"/>
    <xf numFmtId="1" fontId="3" fillId="2" borderId="11" xfId="0" applyNumberFormat="1" applyFont="1" applyFill="1" applyBorder="1"/>
    <xf numFmtId="0" fontId="0" fillId="2" borderId="11" xfId="0" applyFill="1" applyBorder="1"/>
    <xf numFmtId="10" fontId="8" fillId="2" borderId="9" xfId="0" applyNumberFormat="1" applyFont="1" applyFill="1" applyBorder="1"/>
    <xf numFmtId="10" fontId="8" fillId="2" borderId="0" xfId="0" applyNumberFormat="1" applyFont="1" applyFill="1"/>
    <xf numFmtId="164" fontId="9" fillId="2" borderId="11" xfId="1" applyNumberFormat="1" applyFont="1" applyFill="1" applyBorder="1"/>
    <xf numFmtId="164" fontId="9" fillId="2" borderId="0" xfId="1" applyNumberFormat="1" applyFont="1" applyFill="1"/>
    <xf numFmtId="164" fontId="10" fillId="2" borderId="11" xfId="1" applyNumberFormat="1" applyFont="1" applyFill="1" applyBorder="1"/>
    <xf numFmtId="164" fontId="10" fillId="2" borderId="0" xfId="1" applyNumberFormat="1" applyFont="1" applyFill="1" applyBorder="1"/>
    <xf numFmtId="0" fontId="0" fillId="2" borderId="10" xfId="0" applyFill="1" applyBorder="1"/>
    <xf numFmtId="0" fontId="3" fillId="2" borderId="15" xfId="0" applyFont="1" applyFill="1" applyBorder="1"/>
    <xf numFmtId="164" fontId="0" fillId="2" borderId="2" xfId="0" applyNumberFormat="1" applyFill="1" applyBorder="1" applyAlignment="1">
      <alignment horizontal="right"/>
    </xf>
    <xf numFmtId="9" fontId="0" fillId="2" borderId="0" xfId="1" applyFont="1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2" borderId="3" xfId="0" applyFill="1" applyBorder="1"/>
    <xf numFmtId="0" fontId="12" fillId="2" borderId="1" xfId="0" applyFont="1" applyFill="1" applyBorder="1"/>
    <xf numFmtId="0" fontId="13" fillId="2" borderId="0" xfId="0" applyFont="1" applyFill="1"/>
    <xf numFmtId="0" fontId="2" fillId="2" borderId="12" xfId="0" applyFont="1" applyFill="1" applyBorder="1"/>
    <xf numFmtId="0" fontId="0" fillId="2" borderId="13" xfId="0" applyFill="1" applyBorder="1"/>
    <xf numFmtId="10" fontId="2" fillId="2" borderId="14" xfId="0" applyNumberFormat="1" applyFont="1" applyFill="1" applyBorder="1"/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0" fontId="2" fillId="2" borderId="0" xfId="0" applyNumberFormat="1" applyFont="1" applyFill="1"/>
    <xf numFmtId="0" fontId="0" fillId="2" borderId="1" xfId="0" applyFill="1" applyBorder="1"/>
    <xf numFmtId="0" fontId="0" fillId="7" borderId="0" xfId="0" applyFill="1"/>
  </cellXfs>
  <cellStyles count="3">
    <cellStyle name="Normal" xfId="0" builtinId="0"/>
    <cellStyle name="Normal 2" xfId="2" xr:uid="{ABFCB698-C3C2-4B62-A80D-C66EE7EA18D8}"/>
    <cellStyle name="Percent" xfId="1" builtinId="5"/>
  </cellStyles>
  <dxfs count="0"/>
  <tableStyles count="0" defaultTableStyle="TableStyleMedium2" defaultPivotStyle="PivotStyleLight16"/>
  <colors>
    <mruColors>
      <color rgb="FFCCECFF"/>
      <color rgb="FF66FF99"/>
      <color rgb="FFFFFF99"/>
      <color rgb="FFFFFFCC"/>
      <color rgb="FFFFCCFF"/>
      <color rgb="FFFF0000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0AC-3997-422B-8A35-E4A3C95665B6}">
  <dimension ref="A2:CH72"/>
  <sheetViews>
    <sheetView tabSelected="1" topLeftCell="A52" workbookViewId="0">
      <selection activeCell="J62" sqref="J62"/>
    </sheetView>
  </sheetViews>
  <sheetFormatPr defaultRowHeight="15" x14ac:dyDescent="0.25"/>
  <cols>
    <col min="1" max="1" width="9.140625" style="1"/>
    <col min="2" max="2" width="20.5703125" style="1" customWidth="1"/>
    <col min="3" max="3" width="10.7109375" style="1" bestFit="1" customWidth="1"/>
    <col min="4" max="5" width="9.28515625" style="1" bestFit="1" customWidth="1"/>
    <col min="6" max="6" width="10.28515625" style="1" customWidth="1"/>
    <col min="7" max="7" width="9.28515625" style="1" bestFit="1" customWidth="1"/>
    <col min="8" max="8" width="12" style="1" bestFit="1" customWidth="1"/>
    <col min="9" max="14" width="9.28515625" style="1" bestFit="1" customWidth="1"/>
    <col min="15" max="17" width="9.140625" style="1"/>
    <col min="18" max="18" width="9.140625" style="6"/>
    <col min="19" max="16384" width="9.140625" style="44"/>
  </cols>
  <sheetData>
    <row r="2" spans="1:86" ht="23.25" x14ac:dyDescent="0.35">
      <c r="A2" s="9"/>
      <c r="B2" s="71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86" ht="21" x14ac:dyDescent="0.35">
      <c r="B3" s="13"/>
    </row>
    <row r="4" spans="1:86" x14ac:dyDescent="0.25">
      <c r="B4" s="4" t="s">
        <v>18</v>
      </c>
    </row>
    <row r="5" spans="1:86" x14ac:dyDescent="0.25">
      <c r="C5" s="42" t="s">
        <v>0</v>
      </c>
      <c r="E5" s="10">
        <f>WACC!K14</f>
        <v>9.6525328849202285E-2</v>
      </c>
      <c r="F5" s="6"/>
      <c r="H5" s="1" t="s">
        <v>36</v>
      </c>
      <c r="J5" s="42">
        <v>109</v>
      </c>
      <c r="L5" s="1" t="s">
        <v>35</v>
      </c>
      <c r="N5" s="42">
        <f>(J6/J5)-1</f>
        <v>0.2646897376906947</v>
      </c>
    </row>
    <row r="6" spans="1:86" x14ac:dyDescent="0.25">
      <c r="C6" s="42" t="s">
        <v>19</v>
      </c>
      <c r="E6" s="10">
        <v>-0.01</v>
      </c>
      <c r="F6" s="6"/>
      <c r="H6" s="1" t="s">
        <v>37</v>
      </c>
      <c r="J6" s="42">
        <f>D63</f>
        <v>137.85118140828573</v>
      </c>
    </row>
    <row r="7" spans="1:86" x14ac:dyDescent="0.25">
      <c r="E7" s="15"/>
    </row>
    <row r="8" spans="1:86" x14ac:dyDescent="0.25">
      <c r="E8" s="15"/>
    </row>
    <row r="9" spans="1:86" x14ac:dyDescent="0.25">
      <c r="I9" s="1">
        <v>1</v>
      </c>
      <c r="J9" s="1">
        <f>I9+1</f>
        <v>2</v>
      </c>
      <c r="K9" s="1">
        <f t="shared" ref="K9:R9" si="0">J9+1</f>
        <v>3</v>
      </c>
      <c r="L9" s="1">
        <f t="shared" si="0"/>
        <v>4</v>
      </c>
      <c r="M9" s="1">
        <f t="shared" si="0"/>
        <v>5</v>
      </c>
      <c r="N9" s="1">
        <f t="shared" si="0"/>
        <v>6</v>
      </c>
      <c r="O9" s="1">
        <f t="shared" si="0"/>
        <v>7</v>
      </c>
      <c r="P9" s="1">
        <f t="shared" si="0"/>
        <v>8</v>
      </c>
      <c r="Q9" s="1">
        <f t="shared" si="0"/>
        <v>9</v>
      </c>
      <c r="R9" s="1">
        <f t="shared" si="0"/>
        <v>10</v>
      </c>
    </row>
    <row r="10" spans="1:86" x14ac:dyDescent="0.25">
      <c r="B10" s="14" t="s">
        <v>1</v>
      </c>
      <c r="C10" s="14">
        <v>2017</v>
      </c>
      <c r="D10" s="14">
        <v>2018</v>
      </c>
      <c r="E10" s="18">
        <v>2019</v>
      </c>
      <c r="F10" s="14">
        <v>2020</v>
      </c>
      <c r="G10" s="14">
        <v>2021</v>
      </c>
      <c r="H10" s="14">
        <v>2022</v>
      </c>
      <c r="I10" s="20">
        <v>2023</v>
      </c>
      <c r="J10" s="18">
        <v>2024</v>
      </c>
      <c r="K10" s="18">
        <v>2025</v>
      </c>
      <c r="L10" s="18">
        <v>2026</v>
      </c>
      <c r="M10" s="18">
        <v>2027</v>
      </c>
      <c r="N10" s="18">
        <v>2028</v>
      </c>
      <c r="O10" s="18">
        <v>2029</v>
      </c>
      <c r="P10" s="18">
        <v>2030</v>
      </c>
      <c r="Q10" s="18">
        <v>2031</v>
      </c>
      <c r="R10" s="18">
        <v>2032</v>
      </c>
      <c r="S10" s="45">
        <v>2033</v>
      </c>
      <c r="T10" s="45">
        <v>2034</v>
      </c>
      <c r="U10" s="45">
        <v>2035</v>
      </c>
      <c r="V10" s="45">
        <v>2036</v>
      </c>
      <c r="W10" s="45">
        <v>2037</v>
      </c>
      <c r="X10" s="45">
        <v>2038</v>
      </c>
      <c r="Y10" s="45">
        <v>2039</v>
      </c>
      <c r="Z10" s="45">
        <v>2040</v>
      </c>
      <c r="AA10" s="45">
        <v>2041</v>
      </c>
      <c r="AB10" s="45">
        <v>2042</v>
      </c>
      <c r="AC10" s="45">
        <v>2043</v>
      </c>
      <c r="AD10" s="45">
        <v>2044</v>
      </c>
      <c r="AE10" s="45">
        <v>2045</v>
      </c>
      <c r="AF10" s="45">
        <v>2046</v>
      </c>
      <c r="AG10" s="45">
        <v>2047</v>
      </c>
      <c r="AH10" s="45">
        <v>2048</v>
      </c>
      <c r="AI10" s="45">
        <v>2049</v>
      </c>
      <c r="AJ10" s="45">
        <v>2050</v>
      </c>
      <c r="AK10" s="45">
        <v>2051</v>
      </c>
      <c r="AL10" s="45">
        <v>2052</v>
      </c>
      <c r="AM10" s="45">
        <v>2053</v>
      </c>
      <c r="AN10" s="45">
        <v>2054</v>
      </c>
      <c r="AO10" s="45">
        <v>2055</v>
      </c>
      <c r="AP10" s="45">
        <v>2056</v>
      </c>
      <c r="AQ10" s="45">
        <v>2057</v>
      </c>
      <c r="AR10" s="45">
        <v>2058</v>
      </c>
      <c r="AS10" s="45">
        <v>2059</v>
      </c>
      <c r="AT10" s="45">
        <v>2060</v>
      </c>
      <c r="AU10" s="45">
        <v>2061</v>
      </c>
      <c r="AV10" s="45">
        <v>2062</v>
      </c>
      <c r="AW10" s="45">
        <v>2063</v>
      </c>
      <c r="AX10" s="45">
        <v>2064</v>
      </c>
      <c r="AY10" s="45">
        <v>2065</v>
      </c>
      <c r="AZ10" s="45">
        <v>2066</v>
      </c>
      <c r="BA10" s="45">
        <v>2067</v>
      </c>
      <c r="BB10" s="45">
        <v>2068</v>
      </c>
      <c r="BC10" s="45">
        <v>2069</v>
      </c>
      <c r="BD10" s="45">
        <v>2070</v>
      </c>
      <c r="BE10" s="45">
        <v>2071</v>
      </c>
      <c r="BF10" s="45">
        <v>2072</v>
      </c>
      <c r="BG10" s="45">
        <v>2073</v>
      </c>
      <c r="BH10" s="45">
        <v>2074</v>
      </c>
      <c r="BI10" s="45">
        <v>2075</v>
      </c>
      <c r="BJ10" s="45">
        <v>2076</v>
      </c>
      <c r="BK10" s="45">
        <v>2077</v>
      </c>
      <c r="BL10" s="45">
        <v>2078</v>
      </c>
      <c r="BM10" s="45">
        <v>2079</v>
      </c>
      <c r="BN10" s="45">
        <v>2080</v>
      </c>
      <c r="BO10" s="45">
        <v>2081</v>
      </c>
      <c r="BP10" s="45">
        <v>2082</v>
      </c>
      <c r="BQ10" s="45">
        <v>2083</v>
      </c>
      <c r="BR10" s="45">
        <v>2084</v>
      </c>
      <c r="BS10" s="45">
        <v>2085</v>
      </c>
      <c r="BT10" s="45">
        <v>2086</v>
      </c>
      <c r="BU10" s="45">
        <v>2087</v>
      </c>
      <c r="BV10" s="45">
        <v>2088</v>
      </c>
      <c r="BW10" s="45">
        <v>2089</v>
      </c>
      <c r="BX10" s="45">
        <v>2090</v>
      </c>
      <c r="BY10" s="45">
        <v>2091</v>
      </c>
      <c r="BZ10" s="45">
        <v>2092</v>
      </c>
      <c r="CA10" s="45">
        <v>2093</v>
      </c>
      <c r="CB10" s="45">
        <v>2094</v>
      </c>
      <c r="CC10" s="45">
        <v>2095</v>
      </c>
      <c r="CD10" s="45">
        <v>2096</v>
      </c>
      <c r="CE10" s="45">
        <v>2097</v>
      </c>
      <c r="CF10" s="45">
        <v>2098</v>
      </c>
      <c r="CG10" s="45">
        <v>2099</v>
      </c>
      <c r="CH10" s="45">
        <v>2100</v>
      </c>
    </row>
    <row r="11" spans="1:86" x14ac:dyDescent="0.25">
      <c r="B11" s="1" t="s">
        <v>2</v>
      </c>
      <c r="C11" s="5">
        <v>110855</v>
      </c>
      <c r="D11" s="5">
        <v>136819</v>
      </c>
      <c r="E11" s="5">
        <v>161857</v>
      </c>
      <c r="F11" s="5">
        <v>182527</v>
      </c>
      <c r="G11" s="5">
        <v>257637</v>
      </c>
      <c r="H11" s="5">
        <v>282836</v>
      </c>
      <c r="I11" s="52">
        <f>H11*(1+I12)</f>
        <v>299240.48800000001</v>
      </c>
      <c r="J11" s="1">
        <f t="shared" ref="J11:R11" si="1">I11*(1+J12)</f>
        <v>334062.87217271572</v>
      </c>
      <c r="K11" s="1">
        <f t="shared" si="1"/>
        <v>374105.6137659247</v>
      </c>
      <c r="L11" s="1">
        <f t="shared" si="1"/>
        <v>401597.49604357994</v>
      </c>
      <c r="M11" s="1">
        <f t="shared" si="1"/>
        <v>429059.37626709446</v>
      </c>
      <c r="N11" s="1">
        <f t="shared" si="1"/>
        <v>450650.8545637324</v>
      </c>
      <c r="O11" s="1">
        <f t="shared" si="1"/>
        <v>504404.53489927144</v>
      </c>
      <c r="P11" s="1">
        <f t="shared" si="1"/>
        <v>535786.68353051262</v>
      </c>
      <c r="Q11" s="1">
        <f t="shared" si="1"/>
        <v>611401.86064995651</v>
      </c>
      <c r="R11" s="1">
        <f t="shared" si="1"/>
        <v>641973.95381939702</v>
      </c>
    </row>
    <row r="12" spans="1:86" x14ac:dyDescent="0.25">
      <c r="B12" s="2" t="s">
        <v>3</v>
      </c>
      <c r="C12" s="3"/>
      <c r="D12" s="3">
        <f>(D11/C11)-1</f>
        <v>0.23421586757475987</v>
      </c>
      <c r="E12" s="3">
        <f t="shared" ref="E12:H12" si="2">(E11/D11)-1</f>
        <v>0.18300089899794614</v>
      </c>
      <c r="F12" s="3">
        <f t="shared" si="2"/>
        <v>0.12770532012826141</v>
      </c>
      <c r="G12" s="3">
        <f t="shared" si="2"/>
        <v>0.41150076427049154</v>
      </c>
      <c r="H12" s="3">
        <f t="shared" si="2"/>
        <v>9.7808156437157789E-2</v>
      </c>
      <c r="I12" s="29">
        <v>5.8000000000000003E-2</v>
      </c>
      <c r="J12" s="30">
        <v>0.11636922665597216</v>
      </c>
      <c r="K12" s="30">
        <v>0.11986588432523049</v>
      </c>
      <c r="L12" s="30">
        <v>7.348695466210442E-2</v>
      </c>
      <c r="M12" s="30">
        <v>6.8381602211320613E-2</v>
      </c>
      <c r="N12" s="30">
        <v>5.0322821247931415E-2</v>
      </c>
      <c r="O12" s="30">
        <v>0.1192801029692423</v>
      </c>
      <c r="P12" s="30">
        <v>6.2216230148502083E-2</v>
      </c>
      <c r="Q12" s="30">
        <v>0.14112925804946341</v>
      </c>
      <c r="R12" s="30">
        <v>5.0003271394922777E-2</v>
      </c>
    </row>
    <row r="13" spans="1:86" x14ac:dyDescent="0.25">
      <c r="B13" s="4"/>
      <c r="I13" s="19"/>
    </row>
    <row r="14" spans="1:86" x14ac:dyDescent="0.25">
      <c r="B14" s="1" t="s">
        <v>20</v>
      </c>
      <c r="C14" s="5">
        <v>45583</v>
      </c>
      <c r="D14" s="5">
        <v>59549</v>
      </c>
      <c r="E14" s="5">
        <v>71896</v>
      </c>
      <c r="F14" s="5">
        <v>84732</v>
      </c>
      <c r="G14" s="5">
        <v>110939</v>
      </c>
      <c r="H14" s="5">
        <v>126203</v>
      </c>
      <c r="I14" s="28">
        <f>I11-I16</f>
        <v>133521.10574560001</v>
      </c>
      <c r="J14" s="17">
        <f t="shared" ref="J14:R14" si="3">J11-J16</f>
        <v>146920.85118156037</v>
      </c>
      <c r="K14" s="17">
        <f t="shared" si="3"/>
        <v>163783.43770672183</v>
      </c>
      <c r="L14" s="17">
        <f t="shared" si="3"/>
        <v>181923.66570774169</v>
      </c>
      <c r="M14" s="17">
        <f t="shared" si="3"/>
        <v>193934.83807272668</v>
      </c>
      <c r="N14" s="17">
        <f t="shared" si="3"/>
        <v>200882.12493032939</v>
      </c>
      <c r="O14" s="17">
        <f t="shared" si="3"/>
        <v>224798.97787762806</v>
      </c>
      <c r="P14" s="17">
        <f t="shared" si="3"/>
        <v>239414.35070354881</v>
      </c>
      <c r="Q14" s="17">
        <f t="shared" si="3"/>
        <v>274308.9175431715</v>
      </c>
      <c r="R14" s="17">
        <f t="shared" si="3"/>
        <v>287467.47273571882</v>
      </c>
    </row>
    <row r="15" spans="1:86" x14ac:dyDescent="0.25">
      <c r="B15" s="16"/>
      <c r="C15" s="16"/>
      <c r="D15" s="16"/>
      <c r="E15" s="16"/>
      <c r="F15" s="16"/>
      <c r="G15" s="16"/>
      <c r="H15" s="16"/>
      <c r="I15" s="19"/>
    </row>
    <row r="16" spans="1:86" x14ac:dyDescent="0.25">
      <c r="B16" s="1" t="s">
        <v>21</v>
      </c>
      <c r="C16" s="5">
        <f t="shared" ref="C16:H16" si="4">C11-C14</f>
        <v>65272</v>
      </c>
      <c r="D16" s="5">
        <f t="shared" si="4"/>
        <v>77270</v>
      </c>
      <c r="E16" s="5">
        <f t="shared" si="4"/>
        <v>89961</v>
      </c>
      <c r="F16" s="5">
        <f t="shared" si="4"/>
        <v>97795</v>
      </c>
      <c r="G16" s="5">
        <f t="shared" si="4"/>
        <v>146698</v>
      </c>
      <c r="H16" s="5">
        <f t="shared" si="4"/>
        <v>156633</v>
      </c>
      <c r="I16" s="47">
        <f>I11*I17</f>
        <v>165719.3822544</v>
      </c>
      <c r="J16" s="48">
        <f t="shared" ref="J16:R16" si="5">J11*J17</f>
        <v>187142.02099115535</v>
      </c>
      <c r="K16" s="48">
        <f t="shared" si="5"/>
        <v>210322.17605920287</v>
      </c>
      <c r="L16" s="48">
        <f t="shared" si="5"/>
        <v>219673.83033583825</v>
      </c>
      <c r="M16" s="48">
        <f t="shared" si="5"/>
        <v>235124.53819436778</v>
      </c>
      <c r="N16" s="48">
        <f t="shared" si="5"/>
        <v>249768.72963340301</v>
      </c>
      <c r="O16" s="48">
        <f t="shared" si="5"/>
        <v>279605.55702164338</v>
      </c>
      <c r="P16" s="48">
        <f t="shared" si="5"/>
        <v>296372.3328269638</v>
      </c>
      <c r="Q16" s="48">
        <f t="shared" si="5"/>
        <v>337092.94310678501</v>
      </c>
      <c r="R16" s="48">
        <f t="shared" si="5"/>
        <v>354506.4810836782</v>
      </c>
    </row>
    <row r="17" spans="2:18" x14ac:dyDescent="0.25">
      <c r="B17" s="2" t="s">
        <v>22</v>
      </c>
      <c r="C17" s="3">
        <f>C16/C11</f>
        <v>0.58880519597672631</v>
      </c>
      <c r="D17" s="3">
        <f t="shared" ref="D17:H17" si="6">D16/D11</f>
        <v>0.5647607422945643</v>
      </c>
      <c r="E17" s="3">
        <f t="shared" si="6"/>
        <v>0.5558054331910266</v>
      </c>
      <c r="F17" s="3">
        <f t="shared" si="6"/>
        <v>0.53578374706207854</v>
      </c>
      <c r="G17" s="3">
        <f t="shared" si="6"/>
        <v>0.5693980290098084</v>
      </c>
      <c r="H17" s="3">
        <f t="shared" si="6"/>
        <v>0.55379442503783116</v>
      </c>
      <c r="I17" s="58">
        <v>0.55379999999999996</v>
      </c>
      <c r="J17" s="59">
        <v>0.56020000000000003</v>
      </c>
      <c r="K17" s="59">
        <v>0.56220000000000003</v>
      </c>
      <c r="L17" s="59">
        <v>0.54700000000000004</v>
      </c>
      <c r="M17" s="59">
        <v>0.54800000000000004</v>
      </c>
      <c r="N17" s="59">
        <f>AVERAGE(I17:M17)</f>
        <v>0.55423999999999995</v>
      </c>
      <c r="O17" s="59">
        <f t="shared" ref="O17:R17" si="7">AVERAGE(J17:N17)</f>
        <v>0.55432800000000004</v>
      </c>
      <c r="P17" s="59">
        <f t="shared" si="7"/>
        <v>0.55315360000000002</v>
      </c>
      <c r="Q17" s="59">
        <f t="shared" si="7"/>
        <v>0.55134432</v>
      </c>
      <c r="R17" s="59">
        <f t="shared" si="7"/>
        <v>0.55221318399999997</v>
      </c>
    </row>
    <row r="18" spans="2:18" x14ac:dyDescent="0.25">
      <c r="B18" s="4"/>
      <c r="I18" s="19"/>
    </row>
    <row r="19" spans="2:18" x14ac:dyDescent="0.25">
      <c r="B19" s="1" t="s">
        <v>24</v>
      </c>
      <c r="C19" s="5">
        <v>16625</v>
      </c>
      <c r="D19" s="5">
        <v>21419</v>
      </c>
      <c r="E19" s="5">
        <v>26018</v>
      </c>
      <c r="F19" s="5">
        <v>27573</v>
      </c>
      <c r="G19" s="5">
        <v>31562</v>
      </c>
      <c r="H19" s="5">
        <v>39500</v>
      </c>
      <c r="I19" s="47">
        <f>I24*0.482</f>
        <v>41902.182254920779</v>
      </c>
      <c r="J19" s="48">
        <f t="shared" ref="J19:R19" si="8">J24*0.482</f>
        <v>46043.410695045357</v>
      </c>
      <c r="K19" s="48">
        <f t="shared" si="8"/>
        <v>50053.235010366952</v>
      </c>
      <c r="L19" s="48">
        <f t="shared" si="8"/>
        <v>51331.111250298869</v>
      </c>
      <c r="M19" s="48">
        <f t="shared" si="8"/>
        <v>54155.655937470314</v>
      </c>
      <c r="N19" s="48">
        <f t="shared" si="8"/>
        <v>53477.526509805968</v>
      </c>
      <c r="O19" s="48">
        <f t="shared" si="8"/>
        <v>56820.321537772907</v>
      </c>
      <c r="P19" s="48">
        <f t="shared" si="8"/>
        <v>59445.293879770274</v>
      </c>
      <c r="Q19" s="48">
        <f t="shared" si="8"/>
        <v>74069.125461480289</v>
      </c>
      <c r="R19" s="48">
        <f t="shared" si="8"/>
        <v>78042.208127044869</v>
      </c>
    </row>
    <row r="20" spans="2:18" x14ac:dyDescent="0.25">
      <c r="B20" s="1" t="s">
        <v>25</v>
      </c>
      <c r="C20" s="5">
        <v>12893</v>
      </c>
      <c r="D20" s="5">
        <v>16333</v>
      </c>
      <c r="E20" s="5">
        <v>18464</v>
      </c>
      <c r="F20" s="5">
        <v>17946</v>
      </c>
      <c r="G20" s="5">
        <v>22912</v>
      </c>
      <c r="H20" s="5">
        <v>26567</v>
      </c>
      <c r="I20" s="47">
        <f>I24*0.324</f>
        <v>28166.612138162516</v>
      </c>
      <c r="J20" s="48">
        <f t="shared" ref="J20:R20" si="9">J24*0.324</f>
        <v>30950.342458910156</v>
      </c>
      <c r="K20" s="48">
        <f t="shared" si="9"/>
        <v>33645.743036014304</v>
      </c>
      <c r="L20" s="48">
        <f t="shared" si="9"/>
        <v>34504.73038401833</v>
      </c>
      <c r="M20" s="48">
        <f t="shared" si="9"/>
        <v>36403.386978714487</v>
      </c>
      <c r="N20" s="48">
        <f t="shared" si="9"/>
        <v>35947.548940201523</v>
      </c>
      <c r="O20" s="48">
        <f t="shared" si="9"/>
        <v>38194.572983897146</v>
      </c>
      <c r="P20" s="48">
        <f t="shared" si="9"/>
        <v>39959.077213787488</v>
      </c>
      <c r="Q20" s="48">
        <f t="shared" si="9"/>
        <v>49789.204667053142</v>
      </c>
      <c r="R20" s="48">
        <f t="shared" si="9"/>
        <v>52459.907537681618</v>
      </c>
    </row>
    <row r="21" spans="2:18" x14ac:dyDescent="0.25">
      <c r="B21" s="1" t="s">
        <v>26</v>
      </c>
      <c r="C21" s="5">
        <v>6840</v>
      </c>
      <c r="D21" s="5">
        <v>6923</v>
      </c>
      <c r="E21" s="5">
        <v>9551</v>
      </c>
      <c r="F21" s="5">
        <v>11052</v>
      </c>
      <c r="G21" s="5">
        <v>13510</v>
      </c>
      <c r="H21" s="5">
        <v>15724</v>
      </c>
      <c r="I21" s="47">
        <f>I24*0.192</f>
        <v>16691.325711503712</v>
      </c>
      <c r="J21" s="48">
        <f t="shared" ref="J21:R21" si="10">J24*0.192</f>
        <v>18340.943679354168</v>
      </c>
      <c r="K21" s="48">
        <f t="shared" si="10"/>
        <v>19938.218095415883</v>
      </c>
      <c r="L21" s="48">
        <f t="shared" si="10"/>
        <v>20447.247634973824</v>
      </c>
      <c r="M21" s="48">
        <f t="shared" si="10"/>
        <v>21572.377468867842</v>
      </c>
      <c r="N21" s="48">
        <f t="shared" si="10"/>
        <v>21302.251223823125</v>
      </c>
      <c r="O21" s="48">
        <f t="shared" si="10"/>
        <v>22633.821027494603</v>
      </c>
      <c r="P21" s="48">
        <f t="shared" si="10"/>
        <v>23679.453163725921</v>
      </c>
      <c r="Q21" s="48">
        <f t="shared" si="10"/>
        <v>29504.713876772232</v>
      </c>
      <c r="R21" s="48">
        <f t="shared" si="10"/>
        <v>31087.352614922438</v>
      </c>
    </row>
    <row r="22" spans="2:18" x14ac:dyDescent="0.25">
      <c r="B22" s="1" t="s">
        <v>32</v>
      </c>
      <c r="C22" s="5">
        <v>2736</v>
      </c>
      <c r="D22" s="5">
        <v>5071</v>
      </c>
      <c r="E22" s="5">
        <v>1697</v>
      </c>
      <c r="F22" s="5"/>
      <c r="G22" s="5"/>
      <c r="H22" s="5"/>
      <c r="I22" s="19"/>
    </row>
    <row r="23" spans="2:18" x14ac:dyDescent="0.25">
      <c r="I23" s="52"/>
    </row>
    <row r="24" spans="2:18" x14ac:dyDescent="0.25">
      <c r="B24" s="1" t="s">
        <v>23</v>
      </c>
      <c r="C24" s="5">
        <f>SUM(C19:C22)</f>
        <v>39094</v>
      </c>
      <c r="D24" s="5">
        <f>SUM(D19:D22)</f>
        <v>49746</v>
      </c>
      <c r="E24" s="5">
        <f>SUM(E19:E22)</f>
        <v>55730</v>
      </c>
      <c r="F24" s="5">
        <f>F19+F20+F21</f>
        <v>56571</v>
      </c>
      <c r="G24" s="5">
        <f>G19+G20+G21</f>
        <v>67984</v>
      </c>
      <c r="H24" s="5">
        <f>H19+H20+H21</f>
        <v>81791</v>
      </c>
      <c r="I24" s="54">
        <f>I11*I25</f>
        <v>86933.988080748502</v>
      </c>
      <c r="J24" s="55">
        <f t="shared" ref="J24:R24" si="11">J11*J25</f>
        <v>95525.748329969618</v>
      </c>
      <c r="K24" s="55">
        <f t="shared" si="11"/>
        <v>103844.88591362438</v>
      </c>
      <c r="L24" s="55">
        <f t="shared" si="11"/>
        <v>106496.08143215533</v>
      </c>
      <c r="M24" s="55">
        <f t="shared" si="11"/>
        <v>112356.13265035335</v>
      </c>
      <c r="N24" s="55">
        <f t="shared" si="11"/>
        <v>110949.22512407877</v>
      </c>
      <c r="O24" s="55">
        <f t="shared" si="11"/>
        <v>117884.48451820106</v>
      </c>
      <c r="P24" s="55">
        <f t="shared" si="11"/>
        <v>123330.48522773916</v>
      </c>
      <c r="Q24" s="55">
        <f t="shared" si="11"/>
        <v>153670.38477485537</v>
      </c>
      <c r="R24" s="55">
        <f t="shared" si="11"/>
        <v>161913.2948693877</v>
      </c>
    </row>
    <row r="25" spans="2:18" x14ac:dyDescent="0.25">
      <c r="B25" s="1" t="s">
        <v>44</v>
      </c>
      <c r="C25" s="3">
        <f t="shared" ref="C25:H25" si="12">C24/C11</f>
        <v>0.35265887871543911</v>
      </c>
      <c r="D25" s="3">
        <f t="shared" si="12"/>
        <v>0.36358985228659763</v>
      </c>
      <c r="E25" s="3">
        <f t="shared" si="12"/>
        <v>0.34431627918471241</v>
      </c>
      <c r="F25" s="3">
        <f t="shared" si="12"/>
        <v>0.30993222920444646</v>
      </c>
      <c r="G25" s="3">
        <f t="shared" si="12"/>
        <v>0.26387514215737645</v>
      </c>
      <c r="H25" s="3">
        <f t="shared" si="12"/>
        <v>0.289181716613161</v>
      </c>
      <c r="I25" s="60">
        <v>0.29051546019651092</v>
      </c>
      <c r="J25" s="61">
        <v>0.28595140701712374</v>
      </c>
      <c r="K25" s="61">
        <v>0.27758173652694612</v>
      </c>
      <c r="L25" s="61">
        <v>0.26518113902930995</v>
      </c>
      <c r="M25" s="61">
        <v>0.26186616320537032</v>
      </c>
      <c r="N25" s="61">
        <v>0.24619774710399001</v>
      </c>
      <c r="O25" s="61">
        <v>0.23371019957570832</v>
      </c>
      <c r="P25" s="61">
        <v>0.23018579785347651</v>
      </c>
      <c r="Q25" s="61">
        <v>0.25134104860507722</v>
      </c>
      <c r="R25" s="61">
        <v>0.2522116261977474</v>
      </c>
    </row>
    <row r="26" spans="2:18" x14ac:dyDescent="0.25">
      <c r="C26" s="3"/>
      <c r="D26" s="3"/>
      <c r="E26" s="3"/>
      <c r="F26" s="3"/>
      <c r="G26" s="3"/>
      <c r="H26" s="3"/>
      <c r="I26" s="5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1" t="s">
        <v>27</v>
      </c>
      <c r="C27" s="5">
        <f t="shared" ref="C27:H27" si="13">C16-C24</f>
        <v>26178</v>
      </c>
      <c r="D27" s="5">
        <f t="shared" si="13"/>
        <v>27524</v>
      </c>
      <c r="E27" s="5">
        <f t="shared" si="13"/>
        <v>34231</v>
      </c>
      <c r="F27" s="5">
        <f t="shared" si="13"/>
        <v>41224</v>
      </c>
      <c r="G27" s="5">
        <f t="shared" si="13"/>
        <v>78714</v>
      </c>
      <c r="H27" s="5">
        <f t="shared" si="13"/>
        <v>74842</v>
      </c>
      <c r="I27" s="56">
        <f>I16-I24</f>
        <v>78785.394173651497</v>
      </c>
      <c r="J27" s="48">
        <f t="shared" ref="J27:R27" si="14">J16-J24</f>
        <v>91616.272661185736</v>
      </c>
      <c r="K27" s="48">
        <f t="shared" si="14"/>
        <v>106477.29014557849</v>
      </c>
      <c r="L27" s="48">
        <f t="shared" si="14"/>
        <v>113177.74890368292</v>
      </c>
      <c r="M27" s="48">
        <f t="shared" si="14"/>
        <v>122768.40554401443</v>
      </c>
      <c r="N27" s="48">
        <f t="shared" si="14"/>
        <v>138819.50450932424</v>
      </c>
      <c r="O27" s="48">
        <f t="shared" si="14"/>
        <v>161721.07250344232</v>
      </c>
      <c r="P27" s="48">
        <f t="shared" si="14"/>
        <v>173041.84759922465</v>
      </c>
      <c r="Q27" s="48">
        <f t="shared" si="14"/>
        <v>183422.55833192964</v>
      </c>
      <c r="R27" s="48">
        <f t="shared" si="14"/>
        <v>192593.1862142905</v>
      </c>
    </row>
    <row r="28" spans="2:18" x14ac:dyDescent="0.25">
      <c r="B28" s="1" t="s">
        <v>28</v>
      </c>
      <c r="C28" s="5">
        <v>1015</v>
      </c>
      <c r="D28" s="5">
        <v>7389</v>
      </c>
      <c r="E28" s="5">
        <v>5394</v>
      </c>
      <c r="F28" s="5">
        <v>6858</v>
      </c>
      <c r="G28" s="5">
        <v>12020</v>
      </c>
      <c r="H28" s="5">
        <v>-3514</v>
      </c>
      <c r="I28" s="56">
        <f>I27*I29</f>
        <v>9676.3956628236465</v>
      </c>
      <c r="J28" s="48">
        <f t="shared" ref="J28:R28" si="15">J27*J29</f>
        <v>12535.619966175964</v>
      </c>
      <c r="K28" s="48">
        <f t="shared" si="15"/>
        <v>12233.095188301171</v>
      </c>
      <c r="L28" s="48">
        <f t="shared" si="15"/>
        <v>12197.698508393041</v>
      </c>
      <c r="M28" s="48">
        <f t="shared" si="15"/>
        <v>12032.603721354277</v>
      </c>
      <c r="N28" s="48">
        <f t="shared" si="15"/>
        <v>12340.345821998671</v>
      </c>
      <c r="O28" s="48">
        <f t="shared" si="15"/>
        <v>18037.736058049919</v>
      </c>
      <c r="P28" s="48">
        <f t="shared" si="15"/>
        <v>18974.989281257844</v>
      </c>
      <c r="Q28" s="48">
        <f t="shared" si="15"/>
        <v>19282.633297877208</v>
      </c>
      <c r="R28" s="48">
        <f t="shared" si="15"/>
        <v>19933.35025526481</v>
      </c>
    </row>
    <row r="29" spans="2:18" x14ac:dyDescent="0.25">
      <c r="B29" s="1" t="s">
        <v>45</v>
      </c>
      <c r="C29" s="21">
        <f>C28/C27</f>
        <v>3.8773015509206206E-2</v>
      </c>
      <c r="D29" s="21">
        <f t="shared" ref="D29:H29" si="16">D28/D27</f>
        <v>0.2684566196773725</v>
      </c>
      <c r="E29" s="21">
        <f t="shared" si="16"/>
        <v>0.15757646577663523</v>
      </c>
      <c r="F29" s="21">
        <f t="shared" si="16"/>
        <v>0.16635940228992821</v>
      </c>
      <c r="G29" s="21">
        <f t="shared" si="16"/>
        <v>0.15270472851081129</v>
      </c>
      <c r="H29" s="21">
        <f t="shared" si="16"/>
        <v>-4.6952246065043689E-2</v>
      </c>
      <c r="I29" s="62">
        <f>AVERAGE(C29:H29)</f>
        <v>0.12281966428315162</v>
      </c>
      <c r="J29" s="63">
        <f t="shared" ref="J29:R29" si="17">AVERAGE(D29:I29)</f>
        <v>0.1368274390788092</v>
      </c>
      <c r="K29" s="63">
        <f t="shared" si="17"/>
        <v>0.114889242312382</v>
      </c>
      <c r="L29" s="63">
        <f t="shared" si="17"/>
        <v>0.10777470506833976</v>
      </c>
      <c r="M29" s="63">
        <f t="shared" si="17"/>
        <v>9.8010588864741718E-2</v>
      </c>
      <c r="N29" s="63">
        <f t="shared" si="17"/>
        <v>8.8894898923730092E-2</v>
      </c>
      <c r="O29" s="63">
        <f t="shared" si="17"/>
        <v>0.1115360897551924</v>
      </c>
      <c r="P29" s="63">
        <f t="shared" si="17"/>
        <v>0.10965549400053252</v>
      </c>
      <c r="Q29" s="63">
        <f t="shared" si="17"/>
        <v>0.10512683648748643</v>
      </c>
      <c r="R29" s="63">
        <f t="shared" si="17"/>
        <v>0.10349976885000382</v>
      </c>
    </row>
    <row r="30" spans="2:18" x14ac:dyDescent="0.25">
      <c r="C30" s="43"/>
      <c r="D30" s="43"/>
      <c r="E30" s="43"/>
      <c r="F30" s="43"/>
      <c r="G30" s="43"/>
      <c r="H30" s="43"/>
      <c r="I30" s="57"/>
      <c r="J30" s="6"/>
      <c r="K30" s="6"/>
      <c r="L30" s="6"/>
      <c r="M30" s="6"/>
      <c r="N30" s="6"/>
      <c r="O30" s="6"/>
      <c r="P30" s="6"/>
      <c r="Q30" s="6"/>
    </row>
    <row r="31" spans="2:18" x14ac:dyDescent="0.25">
      <c r="B31" s="1" t="s">
        <v>29</v>
      </c>
      <c r="C31" s="5">
        <v>27193</v>
      </c>
      <c r="D31" s="5">
        <v>34913</v>
      </c>
      <c r="E31" s="5">
        <v>39625</v>
      </c>
      <c r="F31" s="5">
        <f>F27+F28</f>
        <v>48082</v>
      </c>
      <c r="G31" s="5">
        <f>G27+G28</f>
        <v>90734</v>
      </c>
      <c r="H31" s="5">
        <f>H27+H28</f>
        <v>71328</v>
      </c>
      <c r="I31" s="56">
        <f>I27+I28</f>
        <v>88461.789836475145</v>
      </c>
      <c r="J31" s="48">
        <f t="shared" ref="J31:R31" si="18">J27+J28</f>
        <v>104151.8926273617</v>
      </c>
      <c r="K31" s="48">
        <f t="shared" si="18"/>
        <v>118710.38533387966</v>
      </c>
      <c r="L31" s="48">
        <f t="shared" si="18"/>
        <v>125375.44741207597</v>
      </c>
      <c r="M31" s="48">
        <f t="shared" si="18"/>
        <v>134801.00926536872</v>
      </c>
      <c r="N31" s="48">
        <f t="shared" si="18"/>
        <v>151159.8503313229</v>
      </c>
      <c r="O31" s="48">
        <f t="shared" si="18"/>
        <v>179758.80856149225</v>
      </c>
      <c r="P31" s="48">
        <f t="shared" si="18"/>
        <v>192016.8368804825</v>
      </c>
      <c r="Q31" s="48">
        <f t="shared" si="18"/>
        <v>202705.19162980685</v>
      </c>
      <c r="R31" s="48">
        <f t="shared" si="18"/>
        <v>212526.53646955531</v>
      </c>
    </row>
    <row r="32" spans="2:18" x14ac:dyDescent="0.25">
      <c r="C32" s="43"/>
      <c r="D32" s="43"/>
      <c r="E32" s="43"/>
      <c r="F32" s="43"/>
      <c r="G32" s="43"/>
      <c r="H32" s="43"/>
      <c r="I32" s="19"/>
    </row>
    <row r="33" spans="2:18" ht="14.25" customHeight="1" x14ac:dyDescent="0.25">
      <c r="B33" s="1" t="s">
        <v>4</v>
      </c>
      <c r="C33" s="5">
        <f t="shared" ref="C33:H33" si="19">C27</f>
        <v>26178</v>
      </c>
      <c r="D33" s="5">
        <f t="shared" si="19"/>
        <v>27524</v>
      </c>
      <c r="E33" s="5">
        <f t="shared" si="19"/>
        <v>34231</v>
      </c>
      <c r="F33" s="5">
        <f t="shared" si="19"/>
        <v>41224</v>
      </c>
      <c r="G33" s="5">
        <f t="shared" si="19"/>
        <v>78714</v>
      </c>
      <c r="H33" s="5">
        <f t="shared" si="19"/>
        <v>74842</v>
      </c>
      <c r="I33" s="52">
        <f>I34*I11</f>
        <v>78785.394173651497</v>
      </c>
      <c r="J33" s="1">
        <f t="shared" ref="J33:R33" si="20">J34*J11</f>
        <v>91616.272661185751</v>
      </c>
      <c r="K33" s="1">
        <f t="shared" si="20"/>
        <v>106477.2901455785</v>
      </c>
      <c r="L33" s="1">
        <f t="shared" si="20"/>
        <v>113177.74890368289</v>
      </c>
      <c r="M33" s="1">
        <f t="shared" si="20"/>
        <v>122768.40554401443</v>
      </c>
      <c r="N33" s="1">
        <f t="shared" si="20"/>
        <v>138819.50450932427</v>
      </c>
      <c r="O33" s="1">
        <f t="shared" si="20"/>
        <v>161721.07250344226</v>
      </c>
      <c r="P33" s="1">
        <f t="shared" si="20"/>
        <v>173041.84759922462</v>
      </c>
      <c r="Q33" s="1">
        <f t="shared" si="20"/>
        <v>183422.55833192967</v>
      </c>
      <c r="R33" s="1">
        <f t="shared" si="20"/>
        <v>192593.18621429047</v>
      </c>
    </row>
    <row r="34" spans="2:18" x14ac:dyDescent="0.25">
      <c r="B34" s="2" t="s">
        <v>15</v>
      </c>
      <c r="C34" s="3">
        <f t="shared" ref="C34:H34" si="21">C33/C11</f>
        <v>0.23614631726128726</v>
      </c>
      <c r="D34" s="3">
        <f t="shared" si="21"/>
        <v>0.20117089000796673</v>
      </c>
      <c r="E34" s="3">
        <f t="shared" si="21"/>
        <v>0.21148915400631421</v>
      </c>
      <c r="F34" s="3">
        <f t="shared" si="21"/>
        <v>0.22585151785763202</v>
      </c>
      <c r="G34" s="3">
        <f t="shared" si="21"/>
        <v>0.3055228868524319</v>
      </c>
      <c r="H34" s="3">
        <f t="shared" si="21"/>
        <v>0.26461270842467011</v>
      </c>
      <c r="I34" s="29">
        <v>0.26328453980348909</v>
      </c>
      <c r="J34" s="30">
        <v>0.27424859298287629</v>
      </c>
      <c r="K34" s="30">
        <v>0.28461826347305391</v>
      </c>
      <c r="L34" s="30">
        <v>0.28181886097069003</v>
      </c>
      <c r="M34" s="30">
        <v>0.28613383679462973</v>
      </c>
      <c r="N34" s="30">
        <v>0.30804225289600995</v>
      </c>
      <c r="O34" s="30">
        <v>0.32061780042429167</v>
      </c>
      <c r="P34" s="30">
        <v>0.32296780214652354</v>
      </c>
      <c r="Q34" s="30">
        <v>0.30000327139492278</v>
      </c>
      <c r="R34" s="30">
        <v>0.30000155780225257</v>
      </c>
    </row>
    <row r="35" spans="2:18" x14ac:dyDescent="0.25">
      <c r="B35" s="2"/>
      <c r="E35" s="6"/>
      <c r="I35" s="19"/>
      <c r="O35" s="6"/>
      <c r="P35" s="6"/>
      <c r="Q35" s="6"/>
    </row>
    <row r="36" spans="2:18" x14ac:dyDescent="0.25">
      <c r="B36" s="1" t="s">
        <v>5</v>
      </c>
      <c r="C36" s="5">
        <v>14531</v>
      </c>
      <c r="D36" s="5">
        <v>4177</v>
      </c>
      <c r="E36" s="7">
        <v>5282</v>
      </c>
      <c r="F36" s="5">
        <v>7813</v>
      </c>
      <c r="G36" s="5">
        <v>14701</v>
      </c>
      <c r="H36" s="5">
        <v>11356</v>
      </c>
      <c r="I36" s="47">
        <f>I33*I37</f>
        <v>13196.553524086627</v>
      </c>
      <c r="J36" s="48">
        <f t="shared" ref="J36:R36" si="22">J33*J37</f>
        <v>15263.271025353546</v>
      </c>
      <c r="K36" s="48">
        <f t="shared" si="22"/>
        <v>18377.980279126848</v>
      </c>
      <c r="L36" s="48">
        <f t="shared" si="22"/>
        <v>19047.815140489831</v>
      </c>
      <c r="M36" s="48">
        <f t="shared" si="22"/>
        <v>20661.922653057631</v>
      </c>
      <c r="N36" s="48">
        <f t="shared" si="22"/>
        <v>23363.322608919276</v>
      </c>
      <c r="O36" s="48">
        <f t="shared" si="22"/>
        <v>27217.656502329333</v>
      </c>
      <c r="P36" s="48">
        <f t="shared" si="22"/>
        <v>29122.942950949506</v>
      </c>
      <c r="Q36" s="48">
        <f t="shared" si="22"/>
        <v>30870.016567263763</v>
      </c>
      <c r="R36" s="48">
        <f t="shared" si="22"/>
        <v>32413.433239865088</v>
      </c>
    </row>
    <row r="37" spans="2:18" x14ac:dyDescent="0.25">
      <c r="B37" s="2" t="s">
        <v>14</v>
      </c>
      <c r="C37" s="21">
        <f>C36/C33</f>
        <v>0.55508442203376884</v>
      </c>
      <c r="D37" s="21">
        <f t="shared" ref="D37:H37" si="23">D36/D33</f>
        <v>0.1517584653393402</v>
      </c>
      <c r="E37" s="21">
        <f t="shared" si="23"/>
        <v>0.15430457772194794</v>
      </c>
      <c r="F37" s="21">
        <f t="shared" si="23"/>
        <v>0.18952551911507859</v>
      </c>
      <c r="G37" s="21">
        <f t="shared" si="23"/>
        <v>0.18676474324770689</v>
      </c>
      <c r="H37" s="21">
        <f t="shared" si="23"/>
        <v>0.15173298415328293</v>
      </c>
      <c r="I37" s="58">
        <v>0.16750000000000001</v>
      </c>
      <c r="J37" s="59">
        <v>0.1666</v>
      </c>
      <c r="K37" s="59">
        <v>0.1726</v>
      </c>
      <c r="L37" s="59">
        <v>0.16830000000000001</v>
      </c>
      <c r="M37" s="59">
        <v>0.16830000000000001</v>
      </c>
      <c r="N37" s="59">
        <v>0.16830000000000001</v>
      </c>
      <c r="O37" s="59">
        <v>0.16830000000000001</v>
      </c>
      <c r="P37" s="59">
        <v>0.16830000000000001</v>
      </c>
      <c r="Q37" s="59">
        <v>0.16830000000000001</v>
      </c>
      <c r="R37" s="59">
        <v>0.16830000000000001</v>
      </c>
    </row>
    <row r="38" spans="2:18" x14ac:dyDescent="0.25">
      <c r="I38" s="19"/>
    </row>
    <row r="39" spans="2:18" x14ac:dyDescent="0.25">
      <c r="B39" s="14" t="s">
        <v>16</v>
      </c>
      <c r="C39" s="14">
        <v>2017</v>
      </c>
      <c r="D39" s="14">
        <f>C39+1</f>
        <v>2018</v>
      </c>
      <c r="E39" s="14">
        <f>D39+1</f>
        <v>2019</v>
      </c>
      <c r="F39" s="14">
        <v>2020</v>
      </c>
      <c r="G39" s="14">
        <v>2021</v>
      </c>
      <c r="H39" s="14">
        <v>2022</v>
      </c>
      <c r="I39" s="27">
        <v>2023</v>
      </c>
      <c r="J39" s="14">
        <v>2024</v>
      </c>
      <c r="K39" s="14">
        <v>2025</v>
      </c>
      <c r="L39" s="14">
        <v>2026</v>
      </c>
      <c r="M39" s="14">
        <v>2027</v>
      </c>
      <c r="N39" s="14">
        <v>2028</v>
      </c>
      <c r="O39" s="14">
        <v>2029</v>
      </c>
      <c r="P39" s="14">
        <v>2030</v>
      </c>
      <c r="Q39" s="14">
        <v>2031</v>
      </c>
      <c r="R39" s="14">
        <v>2032</v>
      </c>
    </row>
    <row r="40" spans="2:18" x14ac:dyDescent="0.25">
      <c r="B40" s="1" t="s">
        <v>6</v>
      </c>
      <c r="C40" s="5">
        <v>6103</v>
      </c>
      <c r="D40" s="5">
        <v>8164</v>
      </c>
      <c r="E40" s="7">
        <v>10856</v>
      </c>
      <c r="F40" s="5">
        <f>12905+792</f>
        <v>13697</v>
      </c>
      <c r="G40" s="5">
        <f>11555+886</f>
        <v>12441</v>
      </c>
      <c r="H40" s="5">
        <f>15287+641</f>
        <v>15928</v>
      </c>
      <c r="I40" s="52">
        <f>I41*I11</f>
        <v>15231.042818795537</v>
      </c>
      <c r="J40" s="1">
        <f t="shared" ref="J40:R40" si="24">J41*J11</f>
        <v>17311.185239221977</v>
      </c>
      <c r="K40" s="1">
        <f t="shared" si="24"/>
        <v>21161.448853953611</v>
      </c>
      <c r="L40" s="1">
        <f t="shared" si="24"/>
        <v>26351.804220306127</v>
      </c>
      <c r="M40" s="1">
        <f t="shared" si="24"/>
        <v>29552.023328654504</v>
      </c>
      <c r="N40" s="1">
        <f t="shared" si="24"/>
        <v>32882.25133827953</v>
      </c>
      <c r="O40" s="1">
        <f t="shared" si="24"/>
        <v>26481.813121582785</v>
      </c>
      <c r="P40" s="1">
        <f t="shared" si="24"/>
        <v>27521.884331796002</v>
      </c>
      <c r="Q40" s="1">
        <f t="shared" si="24"/>
        <v>35966.697094062067</v>
      </c>
      <c r="R40" s="1">
        <f t="shared" si="24"/>
        <v>38401.313949670723</v>
      </c>
    </row>
    <row r="41" spans="2:18" x14ac:dyDescent="0.25">
      <c r="B41" s="2" t="s">
        <v>15</v>
      </c>
      <c r="C41" s="3">
        <f t="shared" ref="C41:H41" si="25">C40/C11</f>
        <v>5.5053899237742995E-2</v>
      </c>
      <c r="D41" s="3">
        <f t="shared" si="25"/>
        <v>5.9670075062674043E-2</v>
      </c>
      <c r="E41" s="3">
        <f t="shared" si="25"/>
        <v>6.7071550813372294E-2</v>
      </c>
      <c r="F41" s="3">
        <f t="shared" si="25"/>
        <v>7.5040952845332465E-2</v>
      </c>
      <c r="G41" s="3">
        <f t="shared" si="25"/>
        <v>4.8288871551834561E-2</v>
      </c>
      <c r="H41" s="3">
        <f t="shared" si="25"/>
        <v>5.6315320539111001E-2</v>
      </c>
      <c r="I41" s="24">
        <v>5.0899004077267565E-2</v>
      </c>
      <c r="J41" s="3">
        <v>5.1820141300443059E-2</v>
      </c>
      <c r="K41" s="3">
        <v>5.6565440547476475E-2</v>
      </c>
      <c r="L41" s="3">
        <v>6.5617451502851309E-2</v>
      </c>
      <c r="M41" s="3">
        <v>6.8876302356478569E-2</v>
      </c>
      <c r="N41" s="3">
        <v>7.2966135546580269E-2</v>
      </c>
      <c r="O41" s="3">
        <v>5.2501140036084623E-2</v>
      </c>
      <c r="P41" s="3">
        <v>5.1367242183854411E-2</v>
      </c>
      <c r="Q41" s="26">
        <v>5.8826607193879533E-2</v>
      </c>
      <c r="R41" s="26">
        <v>5.9817557583456034E-2</v>
      </c>
    </row>
    <row r="42" spans="2:18" x14ac:dyDescent="0.25">
      <c r="E42" s="6"/>
      <c r="I42" s="19"/>
      <c r="O42" s="6"/>
      <c r="P42" s="6"/>
      <c r="Q42" s="6"/>
    </row>
    <row r="43" spans="2:18" x14ac:dyDescent="0.25">
      <c r="B43" s="1" t="s">
        <v>7</v>
      </c>
      <c r="C43" s="5">
        <v>-13184</v>
      </c>
      <c r="D43" s="5">
        <v>-25139</v>
      </c>
      <c r="E43" s="7">
        <v>-23548</v>
      </c>
      <c r="F43" s="5">
        <v>-22281</v>
      </c>
      <c r="G43" s="5">
        <v>-24640</v>
      </c>
      <c r="H43" s="5">
        <v>-31485</v>
      </c>
      <c r="I43" s="52">
        <f>I44*I11</f>
        <v>-32552.228742731102</v>
      </c>
      <c r="J43" s="1">
        <f t="shared" ref="J43:R43" si="26">J44*J11</f>
        <v>-33192.272564400781</v>
      </c>
      <c r="K43" s="1">
        <f t="shared" si="26"/>
        <v>-35022.397866987492</v>
      </c>
      <c r="L43" s="1">
        <f t="shared" si="26"/>
        <v>-34932.391704565205</v>
      </c>
      <c r="M43" s="1">
        <f t="shared" si="26"/>
        <v>-36012.465653632775</v>
      </c>
      <c r="N43" s="1">
        <f t="shared" si="26"/>
        <v>-37172.545080409065</v>
      </c>
      <c r="O43" s="1">
        <f t="shared" si="26"/>
        <v>-40002.738854354655</v>
      </c>
      <c r="P43" s="1">
        <f t="shared" si="26"/>
        <v>-42002.875797072389</v>
      </c>
      <c r="Q43" s="1">
        <f t="shared" si="26"/>
        <v>-44003.012739790116</v>
      </c>
      <c r="R43" s="1">
        <f t="shared" si="26"/>
        <v>-46003.14968250785</v>
      </c>
    </row>
    <row r="44" spans="2:18" x14ac:dyDescent="0.25">
      <c r="B44" s="2" t="s">
        <v>15</v>
      </c>
      <c r="C44" s="3">
        <f t="shared" ref="C44:H44" si="27">C43/C11</f>
        <v>-0.11893013395877497</v>
      </c>
      <c r="D44" s="3">
        <f t="shared" si="27"/>
        <v>-0.18373910056351822</v>
      </c>
      <c r="E44" s="3">
        <f t="shared" si="27"/>
        <v>-0.14548644791389931</v>
      </c>
      <c r="F44" s="3">
        <f t="shared" si="27"/>
        <v>-0.12206961161910293</v>
      </c>
      <c r="G44" s="3">
        <f t="shared" si="27"/>
        <v>-9.5638437025737766E-2</v>
      </c>
      <c r="H44" s="3">
        <f t="shared" si="27"/>
        <v>-0.11131892686928113</v>
      </c>
      <c r="I44" s="24">
        <v>-0.10878283537196712</v>
      </c>
      <c r="J44" s="3">
        <v>-9.9359358160699324E-2</v>
      </c>
      <c r="K44" s="3">
        <v>-9.3616338751069283E-2</v>
      </c>
      <c r="L44" s="3">
        <v>-8.6983589411559634E-2</v>
      </c>
      <c r="M44" s="3">
        <v>-8.3933524462158821E-2</v>
      </c>
      <c r="N44" s="3">
        <v>-8.2486352137055616E-2</v>
      </c>
      <c r="O44" s="3">
        <v>-7.9306858060550781E-2</v>
      </c>
      <c r="P44" s="3">
        <v>-7.8394773681754557E-2</v>
      </c>
      <c r="Q44" s="3">
        <v>-7.1970688301491753E-2</v>
      </c>
      <c r="R44" s="3">
        <v>-7.1658903618774639E-2</v>
      </c>
    </row>
    <row r="45" spans="2:18" x14ac:dyDescent="0.25">
      <c r="E45" s="6"/>
      <c r="I45" s="19"/>
      <c r="O45" s="6"/>
      <c r="P45" s="6"/>
      <c r="Q45" s="6"/>
    </row>
    <row r="46" spans="2:18" x14ac:dyDescent="0.25">
      <c r="B46" s="1" t="s">
        <v>17</v>
      </c>
      <c r="C46" s="1">
        <v>-4070</v>
      </c>
      <c r="D46" s="1">
        <v>-6300</v>
      </c>
      <c r="E46" s="6">
        <v>-2920</v>
      </c>
      <c r="F46" s="1">
        <v>-5400</v>
      </c>
      <c r="G46" s="1">
        <v>2980</v>
      </c>
      <c r="H46" s="1">
        <v>2030</v>
      </c>
      <c r="I46" s="19">
        <f t="shared" ref="I46:R46" si="28">I47*I11</f>
        <v>-5567.9766370461593</v>
      </c>
      <c r="J46" s="1">
        <f t="shared" si="28"/>
        <v>-5207.7384313210196</v>
      </c>
      <c r="K46" s="1">
        <f t="shared" si="28"/>
        <v>-3932.9374575495081</v>
      </c>
      <c r="L46" s="1">
        <f t="shared" si="28"/>
        <v>-3718.1055211113835</v>
      </c>
      <c r="M46" s="1">
        <f t="shared" si="28"/>
        <v>-2518.8185289744715</v>
      </c>
      <c r="N46" s="1">
        <f t="shared" si="28"/>
        <v>-3955.2556714691123</v>
      </c>
      <c r="O46" s="1">
        <f t="shared" si="28"/>
        <v>-5768.2562657251374</v>
      </c>
      <c r="P46" s="1">
        <f t="shared" si="28"/>
        <v>-5486.7582102412889</v>
      </c>
      <c r="Q46" s="1">
        <f t="shared" si="28"/>
        <v>-5716.0832544272816</v>
      </c>
      <c r="R46" s="1">
        <f t="shared" si="28"/>
        <v>-5877.3884101702215</v>
      </c>
    </row>
    <row r="47" spans="2:18" x14ac:dyDescent="0.25">
      <c r="B47" s="2" t="s">
        <v>15</v>
      </c>
      <c r="C47" s="3">
        <f t="shared" ref="C47:H47" si="29">C46/C11</f>
        <v>-3.6714627215732265E-2</v>
      </c>
      <c r="D47" s="3">
        <f t="shared" si="29"/>
        <v>-4.6046236268354544E-2</v>
      </c>
      <c r="E47" s="3">
        <f t="shared" si="29"/>
        <v>-1.8040616099396382E-2</v>
      </c>
      <c r="F47" s="3">
        <f t="shared" si="29"/>
        <v>-2.9584664186668275E-2</v>
      </c>
      <c r="G47" s="3">
        <f t="shared" si="29"/>
        <v>1.1566661620807571E-2</v>
      </c>
      <c r="H47" s="3">
        <f t="shared" si="29"/>
        <v>7.1773041621292907E-3</v>
      </c>
      <c r="I47" s="33">
        <f>AVERAGE(C47:H47)</f>
        <v>-1.8607029664535767E-2</v>
      </c>
      <c r="J47" s="34">
        <f t="shared" ref="J47:R47" si="30">AVERAGE(D47:I47)</f>
        <v>-1.5589096739336353E-2</v>
      </c>
      <c r="K47" s="34">
        <f t="shared" si="30"/>
        <v>-1.0512906817833319E-2</v>
      </c>
      <c r="L47" s="34">
        <f t="shared" si="30"/>
        <v>-9.2582886042394744E-3</v>
      </c>
      <c r="M47" s="34">
        <f t="shared" si="30"/>
        <v>-5.8705593405013424E-3</v>
      </c>
      <c r="N47" s="34">
        <f t="shared" si="30"/>
        <v>-8.7767628340528273E-3</v>
      </c>
      <c r="O47" s="34">
        <f t="shared" si="30"/>
        <v>-1.1435774000083179E-2</v>
      </c>
      <c r="P47" s="34">
        <f t="shared" si="30"/>
        <v>-1.0240564722674416E-2</v>
      </c>
      <c r="Q47" s="34">
        <f t="shared" si="30"/>
        <v>-9.3491427198974259E-3</v>
      </c>
      <c r="R47" s="34">
        <f t="shared" si="30"/>
        <v>-9.1551820369081115E-3</v>
      </c>
    </row>
    <row r="48" spans="2:18" x14ac:dyDescent="0.25">
      <c r="I48" s="19"/>
    </row>
    <row r="49" spans="2:86" x14ac:dyDescent="0.25">
      <c r="B49" s="14" t="s">
        <v>9</v>
      </c>
      <c r="C49" s="5">
        <f t="shared" ref="C49:R49" si="31">C33-C36</f>
        <v>11647</v>
      </c>
      <c r="D49" s="5">
        <f t="shared" si="31"/>
        <v>23347</v>
      </c>
      <c r="E49" s="5">
        <f t="shared" si="31"/>
        <v>28949</v>
      </c>
      <c r="F49" s="5">
        <f t="shared" si="31"/>
        <v>33411</v>
      </c>
      <c r="G49" s="5">
        <f t="shared" si="31"/>
        <v>64013</v>
      </c>
      <c r="H49" s="5">
        <f t="shared" si="31"/>
        <v>63486</v>
      </c>
      <c r="I49" s="31">
        <f>I33-I36</f>
        <v>65588.840649564867</v>
      </c>
      <c r="J49" s="5">
        <f t="shared" si="31"/>
        <v>76353.001635832203</v>
      </c>
      <c r="K49" s="5">
        <f t="shared" si="31"/>
        <v>88099.309866451658</v>
      </c>
      <c r="L49" s="5">
        <f t="shared" si="31"/>
        <v>94129.933763193054</v>
      </c>
      <c r="M49" s="5">
        <f t="shared" si="31"/>
        <v>102106.4828909568</v>
      </c>
      <c r="N49" s="5">
        <f t="shared" si="31"/>
        <v>115456.18190040499</v>
      </c>
      <c r="O49" s="5">
        <f t="shared" si="31"/>
        <v>134503.41600111293</v>
      </c>
      <c r="P49" s="5">
        <f t="shared" si="31"/>
        <v>143918.90464827511</v>
      </c>
      <c r="Q49" s="5">
        <f t="shared" si="31"/>
        <v>152552.54176466592</v>
      </c>
      <c r="R49" s="5">
        <f t="shared" si="31"/>
        <v>160179.75297442538</v>
      </c>
    </row>
    <row r="50" spans="2:86" x14ac:dyDescent="0.25">
      <c r="B50" s="14" t="s">
        <v>30</v>
      </c>
      <c r="C50" s="5">
        <f t="shared" ref="C50:H50" si="32">C31-C36</f>
        <v>12662</v>
      </c>
      <c r="D50" s="5">
        <f t="shared" si="32"/>
        <v>30736</v>
      </c>
      <c r="E50" s="5">
        <f t="shared" si="32"/>
        <v>34343</v>
      </c>
      <c r="F50" s="5">
        <f t="shared" si="32"/>
        <v>40269</v>
      </c>
      <c r="G50" s="5">
        <f t="shared" si="32"/>
        <v>76033</v>
      </c>
      <c r="H50" s="22">
        <f t="shared" si="32"/>
        <v>59972</v>
      </c>
      <c r="I50" s="48">
        <f>I31-I36</f>
        <v>75265.236312388515</v>
      </c>
      <c r="J50" s="48">
        <f>J31-J36</f>
        <v>88888.621602008148</v>
      </c>
      <c r="K50" s="48">
        <f t="shared" ref="K50:Q50" si="33">K31-K36</f>
        <v>100332.40505475282</v>
      </c>
      <c r="L50" s="48">
        <f t="shared" si="33"/>
        <v>106327.63227158613</v>
      </c>
      <c r="M50" s="48">
        <f t="shared" si="33"/>
        <v>114139.08661231109</v>
      </c>
      <c r="N50" s="48">
        <f t="shared" si="33"/>
        <v>127796.52772240363</v>
      </c>
      <c r="O50" s="48">
        <f t="shared" si="33"/>
        <v>152541.15205916291</v>
      </c>
      <c r="P50" s="48">
        <f t="shared" si="33"/>
        <v>162893.89392953299</v>
      </c>
      <c r="Q50" s="48">
        <f t="shared" si="33"/>
        <v>171835.1750625431</v>
      </c>
      <c r="R50" s="48">
        <f>R31-R36</f>
        <v>180113.10322969023</v>
      </c>
      <c r="S50" s="44">
        <f t="shared" ref="S50:AX50" si="34">R50*(1+$E$6)</f>
        <v>178311.97219739333</v>
      </c>
      <c r="T50" s="44">
        <f t="shared" si="34"/>
        <v>176528.85247541941</v>
      </c>
      <c r="U50" s="44">
        <f t="shared" si="34"/>
        <v>174763.56395066521</v>
      </c>
      <c r="V50" s="44">
        <f t="shared" si="34"/>
        <v>173015.92831115855</v>
      </c>
      <c r="W50" s="44">
        <f t="shared" si="34"/>
        <v>171285.76902804695</v>
      </c>
      <c r="X50" s="44">
        <f t="shared" si="34"/>
        <v>169572.91133776648</v>
      </c>
      <c r="Y50" s="44">
        <f t="shared" si="34"/>
        <v>167877.18222438882</v>
      </c>
      <c r="Z50" s="44">
        <f t="shared" si="34"/>
        <v>166198.41040214492</v>
      </c>
      <c r="AA50" s="44">
        <f t="shared" si="34"/>
        <v>164536.42629812346</v>
      </c>
      <c r="AB50" s="44">
        <f t="shared" si="34"/>
        <v>162891.06203514224</v>
      </c>
      <c r="AC50" s="44">
        <f t="shared" si="34"/>
        <v>161262.15141479083</v>
      </c>
      <c r="AD50" s="44">
        <f t="shared" si="34"/>
        <v>159649.52990064293</v>
      </c>
      <c r="AE50" s="44">
        <f t="shared" si="34"/>
        <v>158053.03460163649</v>
      </c>
      <c r="AF50" s="44">
        <f t="shared" si="34"/>
        <v>156472.50425562012</v>
      </c>
      <c r="AG50" s="44">
        <f t="shared" si="34"/>
        <v>154907.77921306391</v>
      </c>
      <c r="AH50" s="44">
        <f t="shared" si="34"/>
        <v>153358.70142093327</v>
      </c>
      <c r="AI50" s="44">
        <f t="shared" si="34"/>
        <v>151825.11440672394</v>
      </c>
      <c r="AJ50" s="44">
        <f t="shared" si="34"/>
        <v>150306.8632626567</v>
      </c>
      <c r="AK50" s="44">
        <f t="shared" si="34"/>
        <v>148803.79463003014</v>
      </c>
      <c r="AL50" s="44">
        <f t="shared" si="34"/>
        <v>147315.75668372985</v>
      </c>
      <c r="AM50" s="44">
        <f t="shared" si="34"/>
        <v>145842.59911689255</v>
      </c>
      <c r="AN50" s="44">
        <f t="shared" si="34"/>
        <v>144384.17312572364</v>
      </c>
      <c r="AO50" s="44">
        <f t="shared" si="34"/>
        <v>142940.3313944664</v>
      </c>
      <c r="AP50" s="44">
        <f t="shared" si="34"/>
        <v>141510.92808052173</v>
      </c>
      <c r="AQ50" s="44">
        <f t="shared" si="34"/>
        <v>140095.81879971651</v>
      </c>
      <c r="AR50" s="44">
        <f t="shared" si="34"/>
        <v>138694.86061171934</v>
      </c>
      <c r="AS50" s="44">
        <f t="shared" si="34"/>
        <v>137307.91200560215</v>
      </c>
      <c r="AT50" s="44">
        <f t="shared" si="34"/>
        <v>135934.83288554611</v>
      </c>
      <c r="AU50" s="44">
        <f t="shared" si="34"/>
        <v>134575.48455669064</v>
      </c>
      <c r="AV50" s="44">
        <f t="shared" si="34"/>
        <v>133229.72971112374</v>
      </c>
      <c r="AW50" s="44">
        <f t="shared" si="34"/>
        <v>131897.4324140125</v>
      </c>
      <c r="AX50" s="44">
        <f t="shared" si="34"/>
        <v>130578.45808987237</v>
      </c>
      <c r="AY50" s="44">
        <f t="shared" ref="AY50:CH50" si="35">AX50*(1+$E$6)</f>
        <v>129272.67350897365</v>
      </c>
      <c r="AZ50" s="44">
        <f t="shared" si="35"/>
        <v>127979.94677388392</v>
      </c>
      <c r="BA50" s="44">
        <f t="shared" si="35"/>
        <v>126700.14730614508</v>
      </c>
      <c r="BB50" s="44">
        <f t="shared" si="35"/>
        <v>125433.14583308363</v>
      </c>
      <c r="BC50" s="44">
        <f t="shared" si="35"/>
        <v>124178.81437475279</v>
      </c>
      <c r="BD50" s="44">
        <f t="shared" si="35"/>
        <v>122937.02623100526</v>
      </c>
      <c r="BE50" s="44">
        <f t="shared" si="35"/>
        <v>121707.65596869521</v>
      </c>
      <c r="BF50" s="44">
        <f t="shared" si="35"/>
        <v>120490.57940900826</v>
      </c>
      <c r="BG50" s="44">
        <f t="shared" si="35"/>
        <v>119285.67361491818</v>
      </c>
      <c r="BH50" s="44">
        <f t="shared" si="35"/>
        <v>118092.81687876899</v>
      </c>
      <c r="BI50" s="44">
        <f t="shared" si="35"/>
        <v>116911.8887099813</v>
      </c>
      <c r="BJ50" s="44">
        <f t="shared" si="35"/>
        <v>115742.76982288148</v>
      </c>
      <c r="BK50" s="44">
        <f t="shared" si="35"/>
        <v>114585.34212465267</v>
      </c>
      <c r="BL50" s="44">
        <f t="shared" si="35"/>
        <v>113439.48870340614</v>
      </c>
      <c r="BM50" s="44">
        <f t="shared" si="35"/>
        <v>112305.09381637207</v>
      </c>
      <c r="BN50" s="44">
        <f t="shared" si="35"/>
        <v>111182.04287820835</v>
      </c>
      <c r="BO50" s="44">
        <f t="shared" si="35"/>
        <v>110070.22244942626</v>
      </c>
      <c r="BP50" s="44">
        <f t="shared" si="35"/>
        <v>108969.520224932</v>
      </c>
      <c r="BQ50" s="44">
        <f t="shared" si="35"/>
        <v>107879.82502268268</v>
      </c>
      <c r="BR50" s="44">
        <f t="shared" si="35"/>
        <v>106801.02677245585</v>
      </c>
      <c r="BS50" s="44">
        <f t="shared" si="35"/>
        <v>105733.01650473129</v>
      </c>
      <c r="BT50" s="44">
        <f t="shared" si="35"/>
        <v>104675.68633968398</v>
      </c>
      <c r="BU50" s="44">
        <f t="shared" si="35"/>
        <v>103628.92947628713</v>
      </c>
      <c r="BV50" s="44">
        <f t="shared" si="35"/>
        <v>102592.64018152426</v>
      </c>
      <c r="BW50" s="44">
        <f t="shared" si="35"/>
        <v>101566.71377970901</v>
      </c>
      <c r="BX50" s="44">
        <f t="shared" si="35"/>
        <v>100551.04664191192</v>
      </c>
      <c r="BY50" s="44">
        <f t="shared" si="35"/>
        <v>99545.536175492802</v>
      </c>
      <c r="BZ50" s="44">
        <f t="shared" si="35"/>
        <v>98550.080813737877</v>
      </c>
      <c r="CA50" s="44">
        <f t="shared" si="35"/>
        <v>97564.580005600495</v>
      </c>
      <c r="CB50" s="44">
        <f t="shared" si="35"/>
        <v>96588.934205544487</v>
      </c>
      <c r="CC50" s="44">
        <f t="shared" si="35"/>
        <v>95623.044863489034</v>
      </c>
      <c r="CD50" s="44">
        <f t="shared" si="35"/>
        <v>94666.814414854147</v>
      </c>
      <c r="CE50" s="44">
        <f t="shared" si="35"/>
        <v>93720.146270705605</v>
      </c>
      <c r="CF50" s="44">
        <f t="shared" si="35"/>
        <v>92782.944807998545</v>
      </c>
      <c r="CG50" s="44">
        <f t="shared" si="35"/>
        <v>91855.115359918564</v>
      </c>
      <c r="CH50" s="44">
        <f t="shared" si="35"/>
        <v>90936.564206319381</v>
      </c>
    </row>
    <row r="51" spans="2:86" x14ac:dyDescent="0.25">
      <c r="B51" s="4"/>
      <c r="C51" s="5"/>
      <c r="D51" s="5"/>
      <c r="E51" s="5"/>
      <c r="F51" s="5"/>
      <c r="G51" s="5"/>
      <c r="H51" s="5"/>
      <c r="I51" s="19"/>
    </row>
    <row r="52" spans="2:86" x14ac:dyDescent="0.25">
      <c r="B52" s="14" t="s">
        <v>31</v>
      </c>
      <c r="C52" s="23">
        <f>C49+C40-C43-C46</f>
        <v>35004</v>
      </c>
      <c r="D52" s="23">
        <f t="shared" ref="D52:R52" si="36">D49+D40-D43-D46</f>
        <v>62950</v>
      </c>
      <c r="E52" s="23">
        <f t="shared" si="36"/>
        <v>66273</v>
      </c>
      <c r="F52" s="23">
        <f t="shared" si="36"/>
        <v>74789</v>
      </c>
      <c r="G52" s="23">
        <f t="shared" si="36"/>
        <v>98114</v>
      </c>
      <c r="H52" s="23">
        <f t="shared" si="36"/>
        <v>108869</v>
      </c>
      <c r="I52" s="32">
        <f>I49+I40-I43-I46</f>
        <v>118940.08884813766</v>
      </c>
      <c r="J52" s="23">
        <f t="shared" si="36"/>
        <v>132064.19787077597</v>
      </c>
      <c r="K52" s="23">
        <f t="shared" si="36"/>
        <v>148216.09404494226</v>
      </c>
      <c r="L52" s="23">
        <f t="shared" si="36"/>
        <v>159132.23520917576</v>
      </c>
      <c r="M52" s="23">
        <f t="shared" si="36"/>
        <v>170189.79040221852</v>
      </c>
      <c r="N52" s="23">
        <f t="shared" si="36"/>
        <v>189466.2339905627</v>
      </c>
      <c r="O52" s="23">
        <f t="shared" si="36"/>
        <v>206756.2242427755</v>
      </c>
      <c r="P52" s="23">
        <f t="shared" si="36"/>
        <v>218930.42298738481</v>
      </c>
      <c r="Q52" s="23">
        <f t="shared" si="36"/>
        <v>238238.33485294535</v>
      </c>
      <c r="R52" s="23">
        <f t="shared" si="36"/>
        <v>250461.60501677418</v>
      </c>
    </row>
    <row r="53" spans="2:86" x14ac:dyDescent="0.25">
      <c r="B53" s="37" t="s">
        <v>34</v>
      </c>
      <c r="I53" s="47">
        <f t="shared" ref="I53:R53" si="37">I52/((1+$E$5)^I9)</f>
        <v>108469.98762259753</v>
      </c>
      <c r="J53" s="48">
        <f t="shared" si="37"/>
        <v>109836.77226002833</v>
      </c>
      <c r="K53" s="48">
        <f t="shared" si="37"/>
        <v>112418.90741582088</v>
      </c>
      <c r="L53" s="48">
        <f t="shared" si="37"/>
        <v>110073.68126291693</v>
      </c>
      <c r="M53" s="48">
        <f t="shared" si="37"/>
        <v>107359.42171307342</v>
      </c>
      <c r="N53" s="48">
        <f t="shared" si="37"/>
        <v>108998.32268407042</v>
      </c>
      <c r="O53" s="48">
        <f t="shared" si="37"/>
        <v>108474.56486295673</v>
      </c>
      <c r="P53" s="48">
        <f t="shared" si="37"/>
        <v>104750.66103790137</v>
      </c>
      <c r="Q53" s="48">
        <f t="shared" si="37"/>
        <v>103954.58120104151</v>
      </c>
      <c r="R53" s="48">
        <f t="shared" si="37"/>
        <v>99667.709915198022</v>
      </c>
    </row>
    <row r="54" spans="2:86" x14ac:dyDescent="0.25">
      <c r="B54" s="38"/>
      <c r="C54" s="38"/>
      <c r="D54" s="38"/>
      <c r="E54" s="38"/>
      <c r="F54" s="38"/>
      <c r="G54" s="38"/>
      <c r="H54" s="38"/>
      <c r="I54" s="39"/>
      <c r="J54" s="38"/>
      <c r="K54" s="38"/>
      <c r="L54" s="38"/>
      <c r="M54" s="38"/>
      <c r="N54" s="38"/>
      <c r="O54" s="38"/>
      <c r="P54" s="38"/>
      <c r="Q54" s="38"/>
      <c r="R54" s="38"/>
    </row>
    <row r="55" spans="2:86" x14ac:dyDescent="0.25">
      <c r="B55" s="1" t="s">
        <v>41</v>
      </c>
      <c r="C55" s="25">
        <f>(R52*(1+$E$6))/($E$5-$E$6)</f>
        <v>2327681.0468016993</v>
      </c>
      <c r="E55" s="1" t="s">
        <v>42</v>
      </c>
      <c r="F55" s="48">
        <f>NPV($E$5,I50:CH50)</f>
        <v>1407824.0136497298</v>
      </c>
      <c r="I55" s="19"/>
    </row>
    <row r="56" spans="2:86" x14ac:dyDescent="0.25">
      <c r="B56" s="9" t="s">
        <v>40</v>
      </c>
      <c r="C56" s="49">
        <f>C55/((1+$E$5)^$R$9)</f>
        <v>926268.27705667249</v>
      </c>
      <c r="D56" s="17"/>
      <c r="E56" s="9"/>
      <c r="F56" s="9"/>
      <c r="G56" s="9"/>
      <c r="H56" s="36"/>
      <c r="I56" s="28"/>
      <c r="J56" s="17"/>
      <c r="K56" s="17"/>
      <c r="L56" s="17"/>
      <c r="M56" s="17"/>
      <c r="N56" s="17"/>
      <c r="O56" s="17"/>
      <c r="P56" s="17"/>
      <c r="Q56" s="17"/>
      <c r="R56" s="35"/>
    </row>
    <row r="57" spans="2:86" x14ac:dyDescent="0.25">
      <c r="B57" s="4" t="s">
        <v>10</v>
      </c>
      <c r="C57" s="4"/>
      <c r="E57" s="4"/>
      <c r="F57" s="4"/>
      <c r="G57" s="44" t="s">
        <v>8</v>
      </c>
      <c r="H57" s="44" t="s">
        <v>42</v>
      </c>
      <c r="I57" s="19"/>
    </row>
    <row r="58" spans="2:86" x14ac:dyDescent="0.25">
      <c r="B58" s="11" t="s">
        <v>38</v>
      </c>
      <c r="D58" s="7">
        <v>115102</v>
      </c>
      <c r="G58" s="6">
        <f>C56+SUM(I53:R53)</f>
        <v>2000272.8870322779</v>
      </c>
      <c r="H58" s="48">
        <f>F55</f>
        <v>1407824.0136497298</v>
      </c>
      <c r="I58" s="19"/>
    </row>
    <row r="59" spans="2:86" x14ac:dyDescent="0.25">
      <c r="B59" s="12" t="s">
        <v>39</v>
      </c>
      <c r="C59" s="9"/>
      <c r="D59" s="40">
        <v>68854</v>
      </c>
      <c r="E59" s="9"/>
      <c r="F59" s="9"/>
      <c r="G59" s="9"/>
      <c r="H59" s="9"/>
      <c r="I59" s="19"/>
    </row>
    <row r="60" spans="2:86" x14ac:dyDescent="0.25">
      <c r="B60" s="4" t="s">
        <v>11</v>
      </c>
      <c r="C60" s="4"/>
      <c r="D60" s="4"/>
      <c r="E60" s="4"/>
      <c r="F60" s="4"/>
      <c r="G60" s="41">
        <f>G58+D58-D59</f>
        <v>2046520.8870322779</v>
      </c>
      <c r="H60" s="46">
        <f>H58+D58-D59</f>
        <v>1454072.0136497298</v>
      </c>
      <c r="I60" s="19"/>
    </row>
    <row r="61" spans="2:86" x14ac:dyDescent="0.25">
      <c r="B61" s="9" t="s">
        <v>12</v>
      </c>
      <c r="C61" s="9"/>
      <c r="D61" s="9">
        <f>12697000000/1000000</f>
        <v>12697</v>
      </c>
      <c r="E61" s="9"/>
      <c r="F61" s="9"/>
      <c r="G61" s="9"/>
      <c r="H61" s="64"/>
      <c r="I61" s="19"/>
    </row>
    <row r="62" spans="2:86" x14ac:dyDescent="0.25">
      <c r="B62" s="16" t="s">
        <v>54</v>
      </c>
      <c r="C62" s="16"/>
      <c r="D62" s="16">
        <f>D61*$J$5</f>
        <v>1383973</v>
      </c>
      <c r="E62" s="16"/>
      <c r="F62" s="16"/>
      <c r="G62" s="16"/>
      <c r="H62" s="65"/>
    </row>
    <row r="63" spans="2:86" x14ac:dyDescent="0.25">
      <c r="B63" s="4" t="s">
        <v>13</v>
      </c>
      <c r="C63" s="4" t="s">
        <v>43</v>
      </c>
      <c r="D63" s="4">
        <f>(G63+H63)/2</f>
        <v>137.85118140828573</v>
      </c>
      <c r="E63" s="6"/>
      <c r="F63" s="4"/>
      <c r="G63" s="50">
        <f>G60/D61</f>
        <v>161.18145129024794</v>
      </c>
      <c r="H63" s="51">
        <f>H60/D61</f>
        <v>114.52091152632353</v>
      </c>
      <c r="I63" s="19"/>
    </row>
    <row r="64" spans="2:86" x14ac:dyDescent="0.25">
      <c r="B64" s="16"/>
      <c r="C64" s="16"/>
      <c r="D64" s="16"/>
      <c r="E64" s="16"/>
      <c r="F64" s="16"/>
      <c r="G64" s="16"/>
      <c r="H64" s="16"/>
    </row>
    <row r="72" spans="16:16" x14ac:dyDescent="0.25">
      <c r="P72" s="8"/>
    </row>
  </sheetData>
  <sortState xmlns:xlrd2="http://schemas.microsoft.com/office/spreadsheetml/2017/richdata2" columnSort="1" ref="C10:H63">
    <sortCondition ref="C10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3772-8EDF-413C-B978-A2030ED8FA16}">
  <dimension ref="A2:L17"/>
  <sheetViews>
    <sheetView workbookViewId="0">
      <selection activeCell="F8" sqref="F8"/>
    </sheetView>
  </sheetViews>
  <sheetFormatPr defaultRowHeight="15" x14ac:dyDescent="0.25"/>
  <cols>
    <col min="1" max="1" width="5.42578125" style="6" customWidth="1"/>
    <col min="2" max="2" width="11.5703125" style="6" customWidth="1"/>
    <col min="3" max="16384" width="9.140625" style="6"/>
  </cols>
  <sheetData>
    <row r="2" spans="1:12" ht="23.25" x14ac:dyDescent="0.35">
      <c r="B2" s="72" t="s">
        <v>0</v>
      </c>
      <c r="L2" s="79"/>
    </row>
    <row r="3" spans="1:12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2" x14ac:dyDescent="0.25">
      <c r="A4" s="80" t="s">
        <v>55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6" spans="1:12" x14ac:dyDescent="0.25">
      <c r="B6" s="6" t="s">
        <v>48</v>
      </c>
      <c r="D6" s="76">
        <v>0.16830000000000001</v>
      </c>
    </row>
    <row r="7" spans="1:12" x14ac:dyDescent="0.25">
      <c r="B7" s="6" t="s">
        <v>51</v>
      </c>
      <c r="D7" s="76">
        <v>5.0999999999999997E-2</v>
      </c>
    </row>
    <row r="8" spans="1:12" x14ac:dyDescent="0.25">
      <c r="B8" s="6" t="s">
        <v>52</v>
      </c>
      <c r="D8" s="77">
        <v>1.1000000000000001</v>
      </c>
    </row>
    <row r="9" spans="1:12" x14ac:dyDescent="0.25">
      <c r="B9" s="6" t="s">
        <v>53</v>
      </c>
      <c r="D9" s="76">
        <v>4.4999999999999998E-2</v>
      </c>
    </row>
    <row r="12" spans="1:12" x14ac:dyDescent="0.25">
      <c r="A12" s="6" t="s">
        <v>11</v>
      </c>
      <c r="C12" s="7">
        <f>'GOOGL DCF'!D62</f>
        <v>1383973</v>
      </c>
      <c r="E12" s="6" t="s">
        <v>39</v>
      </c>
      <c r="G12" s="7">
        <f>'GOOGL DCF'!D59</f>
        <v>68854</v>
      </c>
      <c r="I12" s="6" t="s">
        <v>56</v>
      </c>
      <c r="K12" s="7">
        <f>G12+C12</f>
        <v>1452827</v>
      </c>
    </row>
    <row r="13" spans="1:12" x14ac:dyDescent="0.25">
      <c r="A13" s="6" t="s">
        <v>49</v>
      </c>
      <c r="C13" s="67">
        <f>C12/K12</f>
        <v>0.95260688299432761</v>
      </c>
      <c r="E13" s="6" t="s">
        <v>46</v>
      </c>
      <c r="G13" s="68">
        <f>G12/K12</f>
        <v>4.7393117005672392E-2</v>
      </c>
    </row>
    <row r="14" spans="1:12" x14ac:dyDescent="0.25">
      <c r="A14" s="6" t="s">
        <v>50</v>
      </c>
      <c r="C14" s="69">
        <f>D7+D8*(D9)</f>
        <v>0.10050000000000001</v>
      </c>
      <c r="E14" s="6" t="s">
        <v>47</v>
      </c>
      <c r="G14" s="66">
        <v>0.02</v>
      </c>
      <c r="I14" s="73" t="s">
        <v>0</v>
      </c>
      <c r="J14" s="74"/>
      <c r="K14" s="75">
        <f>C13*C14+G14*G13*(1-D6)</f>
        <v>9.6525328849202285E-2</v>
      </c>
    </row>
    <row r="17" spans="4:4" x14ac:dyDescent="0.25">
      <c r="D17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 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2023-05-01T15:35:56Z</dcterms:created>
  <dcterms:modified xsi:type="dcterms:W3CDTF">2023-05-02T15:21:25Z</dcterms:modified>
</cp:coreProperties>
</file>