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1\Desktop\DCFs\"/>
    </mc:Choice>
  </mc:AlternateContent>
  <xr:revisionPtr revIDLastSave="0" documentId="8_{BB8BDE9C-FB04-48A1-B551-72FCBFF14216}" xr6:coauthVersionLast="47" xr6:coauthVersionMax="47" xr10:uidLastSave="{00000000-0000-0000-0000-000000000000}"/>
  <bookViews>
    <workbookView xWindow="-120" yWindow="-120" windowWidth="20730" windowHeight="11040" xr2:uid="{3F256251-7061-49B2-9B0B-301EC1E08ECF}"/>
  </bookViews>
  <sheets>
    <sheet name="SIG DCF" sheetId="1" r:id="rId1"/>
    <sheet name="Raw IS" sheetId="3" r:id="rId2"/>
    <sheet name="Raw CF" sheetId="4" r:id="rId3"/>
    <sheet name="WACC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9" i="1" l="1"/>
  <c r="L62" i="1"/>
  <c r="M20" i="1"/>
  <c r="N20" i="1"/>
  <c r="O20" i="1" s="1"/>
  <c r="P20" i="1" s="1"/>
  <c r="Q20" i="1" s="1"/>
  <c r="R20" i="1" s="1"/>
  <c r="L20" i="1"/>
  <c r="D60" i="1"/>
  <c r="D62" i="1"/>
  <c r="M44" i="1"/>
  <c r="N44" i="1"/>
  <c r="O44" i="1" s="1"/>
  <c r="P44" i="1" s="1"/>
  <c r="Q44" i="1" s="1"/>
  <c r="R44" i="1" s="1"/>
  <c r="L44" i="1"/>
  <c r="I44" i="1"/>
  <c r="J44" i="1"/>
  <c r="K44" i="1"/>
  <c r="L41" i="1"/>
  <c r="M41" i="1" s="1"/>
  <c r="N41" i="1" s="1"/>
  <c r="O41" i="1" s="1"/>
  <c r="P41" i="1" s="1"/>
  <c r="Q41" i="1" s="1"/>
  <c r="R41" i="1" s="1"/>
  <c r="I41" i="1"/>
  <c r="J41" i="1"/>
  <c r="J22" i="1"/>
  <c r="K22" i="1"/>
  <c r="I22" i="1"/>
  <c r="N17" i="1"/>
  <c r="O17" i="1"/>
  <c r="P17" i="1" s="1"/>
  <c r="Q17" i="1" s="1"/>
  <c r="R17" i="1" s="1"/>
  <c r="M17" i="1"/>
  <c r="I11" i="1"/>
  <c r="J11" i="1"/>
  <c r="K11" i="1" s="1"/>
  <c r="L11" i="1" s="1"/>
  <c r="M11" i="1" s="1"/>
  <c r="N11" i="1" s="1"/>
  <c r="O11" i="1" s="1"/>
  <c r="P11" i="1" s="1"/>
  <c r="Q11" i="1" s="1"/>
  <c r="Q22" i="1" s="1"/>
  <c r="I16" i="1"/>
  <c r="I14" i="1" s="1"/>
  <c r="C53" i="1"/>
  <c r="C49" i="1"/>
  <c r="G46" i="1"/>
  <c r="H46" i="1"/>
  <c r="F46" i="1"/>
  <c r="D46" i="1"/>
  <c r="E46" i="1"/>
  <c r="C46" i="1"/>
  <c r="H43" i="1"/>
  <c r="G43" i="1"/>
  <c r="F43" i="1"/>
  <c r="D43" i="1"/>
  <c r="E43" i="1"/>
  <c r="C43" i="1"/>
  <c r="G40" i="1"/>
  <c r="H40" i="1"/>
  <c r="F40" i="1"/>
  <c r="D40" i="1"/>
  <c r="E40" i="1"/>
  <c r="C40" i="1"/>
  <c r="I29" i="3"/>
  <c r="H29" i="3"/>
  <c r="C51" i="1"/>
  <c r="D51" i="1"/>
  <c r="E51" i="1"/>
  <c r="F51" i="1"/>
  <c r="G51" i="1"/>
  <c r="H51" i="1"/>
  <c r="D49" i="1"/>
  <c r="E49" i="1"/>
  <c r="F49" i="1"/>
  <c r="G49" i="1"/>
  <c r="H49" i="1"/>
  <c r="G36" i="1"/>
  <c r="H36" i="1"/>
  <c r="F36" i="1"/>
  <c r="D36" i="1"/>
  <c r="E36" i="1"/>
  <c r="C36" i="1"/>
  <c r="D31" i="1"/>
  <c r="E31" i="1"/>
  <c r="F31" i="1"/>
  <c r="G31" i="1"/>
  <c r="H31" i="1"/>
  <c r="C31" i="1"/>
  <c r="G28" i="1"/>
  <c r="H28" i="1"/>
  <c r="F28" i="1"/>
  <c r="D28" i="1"/>
  <c r="E28" i="1"/>
  <c r="C28" i="1"/>
  <c r="C27" i="1"/>
  <c r="D27" i="1"/>
  <c r="E27" i="1"/>
  <c r="F27" i="1"/>
  <c r="G27" i="1"/>
  <c r="H27" i="1"/>
  <c r="C25" i="1"/>
  <c r="D22" i="1"/>
  <c r="E22" i="1"/>
  <c r="E25" i="1" s="1"/>
  <c r="C22" i="1"/>
  <c r="G22" i="1"/>
  <c r="H22" i="1"/>
  <c r="F22" i="1"/>
  <c r="G19" i="1"/>
  <c r="H19" i="1"/>
  <c r="F19" i="1"/>
  <c r="D19" i="1"/>
  <c r="E19" i="1"/>
  <c r="C19" i="1"/>
  <c r="D16" i="1"/>
  <c r="E16" i="1"/>
  <c r="F16" i="1"/>
  <c r="G16" i="1"/>
  <c r="H16" i="1"/>
  <c r="C16" i="1"/>
  <c r="G14" i="1"/>
  <c r="H14" i="1"/>
  <c r="F14" i="1"/>
  <c r="D14" i="1"/>
  <c r="E14" i="1"/>
  <c r="C14" i="1"/>
  <c r="G11" i="1"/>
  <c r="H11" i="1"/>
  <c r="F11" i="1"/>
  <c r="D11" i="1"/>
  <c r="E11" i="1"/>
  <c r="C11" i="1"/>
  <c r="L17" i="1"/>
  <c r="G25" i="1"/>
  <c r="D25" i="1"/>
  <c r="L60" i="1"/>
  <c r="L63" i="1"/>
  <c r="D63" i="1"/>
  <c r="C12" i="2" s="1"/>
  <c r="G12" i="2"/>
  <c r="C14" i="2"/>
  <c r="J9" i="1"/>
  <c r="K9" i="1" s="1"/>
  <c r="L9" i="1" s="1"/>
  <c r="M9" i="1" s="1"/>
  <c r="N9" i="1" s="1"/>
  <c r="O9" i="1" s="1"/>
  <c r="P9" i="1" s="1"/>
  <c r="Q9" i="1" s="1"/>
  <c r="R9" i="1" s="1"/>
  <c r="O22" i="1" l="1"/>
  <c r="M22" i="1"/>
  <c r="P22" i="1"/>
  <c r="N22" i="1"/>
  <c r="L22" i="1"/>
  <c r="E23" i="1"/>
  <c r="J16" i="1"/>
  <c r="J14" i="1" s="1"/>
  <c r="E20" i="1"/>
  <c r="C23" i="1"/>
  <c r="D23" i="1"/>
  <c r="H25" i="1"/>
  <c r="F25" i="1"/>
  <c r="G23" i="1"/>
  <c r="C33" i="1"/>
  <c r="H23" i="1"/>
  <c r="F23" i="1"/>
  <c r="C41" i="1"/>
  <c r="E41" i="1"/>
  <c r="D47" i="1"/>
  <c r="F12" i="1"/>
  <c r="F20" i="1"/>
  <c r="C29" i="1"/>
  <c r="D29" i="1"/>
  <c r="H29" i="1"/>
  <c r="E29" i="1"/>
  <c r="F29" i="1"/>
  <c r="G29" i="1"/>
  <c r="J28" i="1"/>
  <c r="I28" i="1"/>
  <c r="C47" i="1"/>
  <c r="D41" i="1"/>
  <c r="F44" i="1"/>
  <c r="F47" i="1"/>
  <c r="G44" i="1"/>
  <c r="E47" i="1"/>
  <c r="G47" i="1"/>
  <c r="G41" i="1"/>
  <c r="G12" i="1"/>
  <c r="F41" i="1"/>
  <c r="G20" i="1"/>
  <c r="D20" i="1"/>
  <c r="C20" i="1"/>
  <c r="D12" i="1"/>
  <c r="D44" i="1"/>
  <c r="H12" i="1"/>
  <c r="D17" i="1"/>
  <c r="F17" i="1"/>
  <c r="C17" i="1"/>
  <c r="H20" i="1"/>
  <c r="H41" i="1"/>
  <c r="C44" i="1"/>
  <c r="H44" i="1"/>
  <c r="H47" i="1"/>
  <c r="E12" i="1"/>
  <c r="E44" i="1"/>
  <c r="K12" i="2"/>
  <c r="G13" i="2" s="1"/>
  <c r="G17" i="1" l="1"/>
  <c r="G33" i="1"/>
  <c r="G53" i="1" s="1"/>
  <c r="K16" i="1"/>
  <c r="K14" i="1" s="1"/>
  <c r="E17" i="1"/>
  <c r="E33" i="1"/>
  <c r="H17" i="1"/>
  <c r="C13" i="2"/>
  <c r="K14" i="2" s="1"/>
  <c r="E5" i="1" s="1"/>
  <c r="F33" i="1"/>
  <c r="D33" i="1"/>
  <c r="H33" i="1"/>
  <c r="G34" i="1" l="1"/>
  <c r="G37" i="1"/>
  <c r="L16" i="1"/>
  <c r="L14" i="1" s="1"/>
  <c r="K28" i="1"/>
  <c r="K40" i="1"/>
  <c r="H53" i="1"/>
  <c r="E53" i="1"/>
  <c r="E34" i="1"/>
  <c r="E37" i="1"/>
  <c r="H34" i="1"/>
  <c r="F37" i="1"/>
  <c r="F53" i="1"/>
  <c r="D53" i="1"/>
  <c r="D34" i="1"/>
  <c r="D37" i="1"/>
  <c r="F34" i="1"/>
  <c r="H37" i="1"/>
  <c r="M16" i="1" l="1"/>
  <c r="M14" i="1" s="1"/>
  <c r="L40" i="1"/>
  <c r="L28" i="1"/>
  <c r="L43" i="1"/>
  <c r="C37" i="1"/>
  <c r="C34" i="1"/>
  <c r="I46" i="1"/>
  <c r="N16" i="1" l="1"/>
  <c r="N14" i="1" s="1"/>
  <c r="M40" i="1"/>
  <c r="M43" i="1"/>
  <c r="M28" i="1"/>
  <c r="I19" i="1"/>
  <c r="I25" i="1" s="1"/>
  <c r="I27" i="1" s="1"/>
  <c r="I31" i="1" s="1"/>
  <c r="O16" i="1" l="1"/>
  <c r="O14" i="1" s="1"/>
  <c r="N40" i="1"/>
  <c r="N43" i="1"/>
  <c r="N28" i="1"/>
  <c r="P16" i="1" l="1"/>
  <c r="P14" i="1" s="1"/>
  <c r="O28" i="1"/>
  <c r="O40" i="1"/>
  <c r="O43" i="1"/>
  <c r="Q16" i="1" l="1"/>
  <c r="Q14" i="1" s="1"/>
  <c r="P40" i="1"/>
  <c r="P43" i="1"/>
  <c r="P28" i="1"/>
  <c r="Q40" i="1" l="1"/>
  <c r="Q43" i="1"/>
  <c r="R11" i="1"/>
  <c r="Q28" i="1"/>
  <c r="J46" i="1"/>
  <c r="J19" i="1"/>
  <c r="J25" i="1" s="1"/>
  <c r="J27" i="1" s="1"/>
  <c r="R16" i="1" l="1"/>
  <c r="R14" i="1" s="1"/>
  <c r="R22" i="1"/>
  <c r="R28" i="1"/>
  <c r="R40" i="1"/>
  <c r="K46" i="1" l="1"/>
  <c r="K19" i="1"/>
  <c r="K25" i="1" s="1"/>
  <c r="K27" i="1" s="1"/>
  <c r="L19" i="1" l="1"/>
  <c r="L25" i="1" s="1"/>
  <c r="L27" i="1" s="1"/>
  <c r="L46" i="1"/>
  <c r="M19" i="1" l="1"/>
  <c r="M25" i="1" s="1"/>
  <c r="M27" i="1" s="1"/>
  <c r="M46" i="1"/>
  <c r="N19" i="1" l="1"/>
  <c r="N25" i="1" s="1"/>
  <c r="N27" i="1" s="1"/>
  <c r="N46" i="1"/>
  <c r="O46" i="1" l="1"/>
  <c r="O19" i="1"/>
  <c r="O25" i="1" s="1"/>
  <c r="O27" i="1" s="1"/>
  <c r="P19" i="1" l="1"/>
  <c r="P25" i="1" s="1"/>
  <c r="P27" i="1" s="1"/>
  <c r="P46" i="1"/>
  <c r="Q19" i="1" l="1"/>
  <c r="Q25" i="1" s="1"/>
  <c r="Q27" i="1" s="1"/>
  <c r="Q46" i="1"/>
  <c r="R19" i="1" l="1"/>
  <c r="R25" i="1" s="1"/>
  <c r="R27" i="1" s="1"/>
  <c r="R43" i="1" l="1"/>
  <c r="R46" i="1"/>
  <c r="J31" i="1" l="1"/>
  <c r="K31" i="1"/>
  <c r="L31" i="1"/>
  <c r="M33" i="1"/>
  <c r="N31" i="1"/>
  <c r="O33" i="1"/>
  <c r="P33" i="1"/>
  <c r="Q33" i="1"/>
  <c r="R31" i="1"/>
  <c r="J33" i="1" l="1"/>
  <c r="R33" i="1"/>
  <c r="N33" i="1"/>
  <c r="Q31" i="1"/>
  <c r="M36" i="1"/>
  <c r="M34" i="1"/>
  <c r="I33" i="1"/>
  <c r="P36" i="1"/>
  <c r="P34" i="1"/>
  <c r="O36" i="1"/>
  <c r="O34" i="1"/>
  <c r="Q34" i="1"/>
  <c r="Q36" i="1"/>
  <c r="M31" i="1"/>
  <c r="P31" i="1"/>
  <c r="O31" i="1"/>
  <c r="O51" i="1" s="1"/>
  <c r="L33" i="1"/>
  <c r="K33" i="1"/>
  <c r="M51" i="1" l="1"/>
  <c r="P51" i="1"/>
  <c r="R34" i="1"/>
  <c r="Q49" i="1"/>
  <c r="Q53" i="1" s="1"/>
  <c r="Q54" i="1" s="1"/>
  <c r="Q51" i="1"/>
  <c r="R36" i="1"/>
  <c r="R51" i="1" s="1"/>
  <c r="N36" i="1"/>
  <c r="N51" i="1" s="1"/>
  <c r="P49" i="1"/>
  <c r="P53" i="1" s="1"/>
  <c r="P54" i="1" s="1"/>
  <c r="O49" i="1"/>
  <c r="O53" i="1" s="1"/>
  <c r="O54" i="1" s="1"/>
  <c r="M49" i="1"/>
  <c r="M53" i="1" s="1"/>
  <c r="M54" i="1" s="1"/>
  <c r="J34" i="1"/>
  <c r="J36" i="1"/>
  <c r="J49" i="1" s="1"/>
  <c r="N34" i="1"/>
  <c r="I34" i="1"/>
  <c r="I36" i="1"/>
  <c r="I49" i="1" s="1"/>
  <c r="I53" i="1" s="1"/>
  <c r="L36" i="1"/>
  <c r="L51" i="1" s="1"/>
  <c r="L34" i="1"/>
  <c r="K36" i="1"/>
  <c r="K51" i="1" s="1"/>
  <c r="K34" i="1"/>
  <c r="S51" i="1"/>
  <c r="T51" i="1" s="1"/>
  <c r="U51" i="1" s="1"/>
  <c r="V51" i="1" s="1"/>
  <c r="W51" i="1" s="1"/>
  <c r="X51" i="1" s="1"/>
  <c r="Y51" i="1" s="1"/>
  <c r="Z51" i="1" s="1"/>
  <c r="AA51" i="1" s="1"/>
  <c r="AB51" i="1" s="1"/>
  <c r="AC51" i="1" s="1"/>
  <c r="AD51" i="1" s="1"/>
  <c r="AE51" i="1" s="1"/>
  <c r="AF51" i="1" s="1"/>
  <c r="AG51" i="1" s="1"/>
  <c r="AH51" i="1" s="1"/>
  <c r="AI51" i="1" s="1"/>
  <c r="AJ51" i="1" s="1"/>
  <c r="AK51" i="1" s="1"/>
  <c r="AL51" i="1" s="1"/>
  <c r="AM51" i="1" s="1"/>
  <c r="AN51" i="1" s="1"/>
  <c r="AO51" i="1" s="1"/>
  <c r="AP51" i="1" s="1"/>
  <c r="AQ51" i="1" s="1"/>
  <c r="AR51" i="1" s="1"/>
  <c r="AS51" i="1" s="1"/>
  <c r="AT51" i="1" s="1"/>
  <c r="AU51" i="1" s="1"/>
  <c r="AV51" i="1" s="1"/>
  <c r="AW51" i="1" s="1"/>
  <c r="AX51" i="1" s="1"/>
  <c r="AY51" i="1" s="1"/>
  <c r="AZ51" i="1" s="1"/>
  <c r="BA51" i="1" s="1"/>
  <c r="BB51" i="1" s="1"/>
  <c r="BC51" i="1" s="1"/>
  <c r="BD51" i="1" s="1"/>
  <c r="BE51" i="1" s="1"/>
  <c r="BF51" i="1" s="1"/>
  <c r="BG51" i="1" s="1"/>
  <c r="BH51" i="1" s="1"/>
  <c r="BI51" i="1" s="1"/>
  <c r="BJ51" i="1" s="1"/>
  <c r="BK51" i="1" s="1"/>
  <c r="BL51" i="1" s="1"/>
  <c r="BM51" i="1" s="1"/>
  <c r="BN51" i="1" s="1"/>
  <c r="BO51" i="1" s="1"/>
  <c r="BP51" i="1" s="1"/>
  <c r="BQ51" i="1" s="1"/>
  <c r="BR51" i="1" s="1"/>
  <c r="BS51" i="1" s="1"/>
  <c r="BT51" i="1" s="1"/>
  <c r="BU51" i="1" s="1"/>
  <c r="BV51" i="1" s="1"/>
  <c r="BW51" i="1" s="1"/>
  <c r="BX51" i="1" s="1"/>
  <c r="BY51" i="1" s="1"/>
  <c r="BZ51" i="1" s="1"/>
  <c r="CA51" i="1" s="1"/>
  <c r="CB51" i="1" s="1"/>
  <c r="CC51" i="1" s="1"/>
  <c r="CD51" i="1" s="1"/>
  <c r="CE51" i="1" s="1"/>
  <c r="CF51" i="1" s="1"/>
  <c r="CG51" i="1" s="1"/>
  <c r="CH51" i="1" s="1"/>
  <c r="N49" i="1" l="1"/>
  <c r="N53" i="1" s="1"/>
  <c r="N54" i="1" s="1"/>
  <c r="R49" i="1"/>
  <c r="R53" i="1" s="1"/>
  <c r="R54" i="1" s="1"/>
  <c r="L49" i="1"/>
  <c r="L53" i="1" s="1"/>
  <c r="L54" i="1" s="1"/>
  <c r="K49" i="1"/>
  <c r="J53" i="1"/>
  <c r="J54" i="1" s="1"/>
  <c r="J51" i="1"/>
  <c r="I54" i="1"/>
  <c r="I51" i="1"/>
  <c r="F56" i="1" s="1"/>
  <c r="H59" i="1" s="1"/>
  <c r="H61" i="1" s="1"/>
  <c r="H64" i="1" s="1"/>
  <c r="K53" i="1"/>
  <c r="K54" i="1" s="1"/>
  <c r="C56" i="1" l="1"/>
  <c r="C57" i="1" s="1"/>
  <c r="G59" i="1" s="1"/>
  <c r="G61" i="1" s="1"/>
  <c r="G64" i="1" s="1"/>
  <c r="E64" i="1" s="1"/>
  <c r="J6" i="1" s="1"/>
  <c r="N5" i="1" s="1"/>
  <c r="L58" i="1" l="1"/>
</calcChain>
</file>

<file path=xl/sharedStrings.xml><?xml version="1.0" encoding="utf-8"?>
<sst xmlns="http://schemas.openxmlformats.org/spreadsheetml/2006/main" count="219" uniqueCount="153">
  <si>
    <t xml:space="preserve">Valuation Assumptions: </t>
  </si>
  <si>
    <t>WACC</t>
  </si>
  <si>
    <t>Current price   :</t>
  </si>
  <si>
    <t xml:space="preserve">Upside/Downside : </t>
  </si>
  <si>
    <t>Terminal rate</t>
  </si>
  <si>
    <t xml:space="preserve">Implied price   : </t>
  </si>
  <si>
    <t>Income Statement</t>
  </si>
  <si>
    <t>Revenue</t>
  </si>
  <si>
    <t>% growth</t>
  </si>
  <si>
    <t>COGS</t>
  </si>
  <si>
    <t>Gross Profit</t>
  </si>
  <si>
    <t>% Gross Margin</t>
  </si>
  <si>
    <t>Opex</t>
  </si>
  <si>
    <t>Operating income</t>
  </si>
  <si>
    <t>Pre-tax income</t>
  </si>
  <si>
    <t>EBIT</t>
  </si>
  <si>
    <t>% Revenue</t>
  </si>
  <si>
    <t>Taxes</t>
  </si>
  <si>
    <t>% EBIT</t>
  </si>
  <si>
    <t>Cash Flow Statement</t>
  </si>
  <si>
    <t>D&amp;A</t>
  </si>
  <si>
    <t>CapEx</t>
  </si>
  <si>
    <t>change NWC</t>
  </si>
  <si>
    <t>EBIAT</t>
  </si>
  <si>
    <t>Net income</t>
  </si>
  <si>
    <t>FCF</t>
  </si>
  <si>
    <t>Present value FCF</t>
  </si>
  <si>
    <t>TV</t>
  </si>
  <si>
    <t>DNI</t>
  </si>
  <si>
    <t>PV of TV</t>
  </si>
  <si>
    <t>Enterprise Value</t>
  </si>
  <si>
    <t>DCF</t>
  </si>
  <si>
    <t>Cash</t>
  </si>
  <si>
    <t>Debt</t>
  </si>
  <si>
    <t>Equity Value</t>
  </si>
  <si>
    <t>Shares</t>
  </si>
  <si>
    <t xml:space="preserve">Current market cap </t>
  </si>
  <si>
    <t>Share Price</t>
  </si>
  <si>
    <t>Mean:</t>
  </si>
  <si>
    <t>SG&amp;A</t>
  </si>
  <si>
    <t xml:space="preserve">Assumpions: </t>
  </si>
  <si>
    <t>Tax Rate</t>
  </si>
  <si>
    <t>Risk Free Rate</t>
  </si>
  <si>
    <t>Beta</t>
  </si>
  <si>
    <t>Market Risk Premium</t>
  </si>
  <si>
    <t>D+E</t>
  </si>
  <si>
    <t>% Equity</t>
  </si>
  <si>
    <t>% Debt</t>
  </si>
  <si>
    <t>Cost of Equity</t>
  </si>
  <si>
    <t>Cost of Debt</t>
  </si>
  <si>
    <t>NCI</t>
  </si>
  <si>
    <t>CONSOLIDATED STATEMENTS OF OPERATIONS</t>
  </si>
  <si>
    <t>Depreciation and amortization</t>
  </si>
  <si>
    <t>Net income (loss)</t>
  </si>
  <si>
    <t>CONSOLIDATED STATEMENTS OF CASH FLOWS</t>
  </si>
  <si>
    <t>Other income</t>
  </si>
  <si>
    <t>Update: 09/06/2023</t>
  </si>
  <si>
    <t>Terminal Growth Rate</t>
  </si>
  <si>
    <t>Cost of sales</t>
  </si>
  <si>
    <t>Changes in operating assets and liabilities:</t>
  </si>
  <si>
    <t>Net cash used in investing activities</t>
  </si>
  <si>
    <t>Net cash used in financing activities</t>
  </si>
  <si>
    <t>Selling, general and administrative expenses</t>
  </si>
  <si>
    <t xml:space="preserve">Other </t>
  </si>
  <si>
    <t>(in millions, except per share amounts)</t>
  </si>
  <si>
    <t>Sales</t>
  </si>
  <si>
    <t>Restructuring charges - cost of sales</t>
  </si>
  <si>
    <t>Gross margin</t>
  </si>
  <si>
    <t>Restructuring charges</t>
  </si>
  <si>
    <t>Asset impairments, net</t>
  </si>
  <si>
    <t>Other operating income (expense)</t>
  </si>
  <si>
    <t>Operating income (loss)</t>
  </si>
  <si>
    <t>Interest expense, net</t>
  </si>
  <si>
    <t>Other non-operating expense, net</t>
  </si>
  <si>
    <t>Income (loss) before income taxes</t>
  </si>
  <si>
    <t>Income taxes</t>
  </si>
  <si>
    <t>Dividends on redeemable convertible preferred shares</t>
  </si>
  <si>
    <t>Net income (loss) attributable to common shareholders</t>
  </si>
  <si>
    <t>Earnings (loss) per common share:</t>
  </si>
  <si>
    <t>Basic</t>
  </si>
  <si>
    <t>Diluted</t>
  </si>
  <si>
    <t>Weighted average common shares outstanding:</t>
  </si>
  <si>
    <t>(in millions)</t>
  </si>
  <si>
    <t>Operating activities</t>
  </si>
  <si>
    <t>Adjustments to reconcile net income (loss) to net cash provided</t>
  </si>
  <si>
    <t>by operating activities:</t>
  </si>
  <si>
    <t>Amortization of unfavorable contracts</t>
  </si>
  <si>
    <t>Share-based compensation</t>
  </si>
  <si>
    <t>Deferred taxation</t>
  </si>
  <si>
    <t>Asset impairments</t>
  </si>
  <si>
    <t>Net loss on extinguishment of debt</t>
  </si>
  <si>
    <t>Pension settlement loss</t>
  </si>
  <si>
    <t>Other non-cash movements</t>
  </si>
  <si>
    <t>Changes in operating assets and liabilities, net of acquisitions:</t>
  </si>
  <si>
    <t>Decrease (increase) in accounts receivable</t>
  </si>
  <si>
    <t>Proceeds from sale of in-house finance receivables</t>
  </si>
  <si>
    <t>Decrease (increase) in other assets and other receivables</t>
  </si>
  <si>
    <t>(Increase) decrease in inventories</t>
  </si>
  <si>
    <t>(Decrease) increase in accounts payable</t>
  </si>
  <si>
    <t>Increase (decrease) in accrued expenses and other liabilities</t>
  </si>
  <si>
    <t>Change in operating lease assets and liabilities</t>
  </si>
  <si>
    <t>Increase in deferred revenue</t>
  </si>
  <si>
    <t>Changes in income tax receivable and payable</t>
  </si>
  <si>
    <t>Pension plan contributions</t>
  </si>
  <si>
    <t>Net cash provided by operating activities</t>
  </si>
  <si>
    <t>Investing activities</t>
  </si>
  <si>
    <t>Purchase of property, plant and equipment</t>
  </si>
  <si>
    <t>Acquisitions, net of cash acquired</t>
  </si>
  <si>
    <t>Other investing activities, net</t>
  </si>
  <si>
    <t>Financing activities</t>
  </si>
  <si>
    <t>Dividends paid on common shares</t>
  </si>
  <si>
    <t>Dividends paid on redeemable convertible preferred shares</t>
  </si>
  <si>
    <t>Repurchase of common shares</t>
  </si>
  <si>
    <t>Repayments of term loans</t>
  </si>
  <si>
    <t>Proceeds from revolving credit facilities</t>
  </si>
  <si>
    <t>Repayments of revolving credit facilities</t>
  </si>
  <si>
    <t>Payment of debt issuance costs</t>
  </si>
  <si>
    <t>Decrease of bank overdrafts</t>
  </si>
  <si>
    <t>Other financing activities, net</t>
  </si>
  <si>
    <t>Cash and cash equivalents at beginning of period</t>
  </si>
  <si>
    <t>(Decrease) increase in cash and cash equivalents</t>
  </si>
  <si>
    <t>Effect of exchange rate changes on cash and cash equivalents</t>
  </si>
  <si>
    <t>Cash and cash equivalents at end of period</t>
  </si>
  <si>
    <t>Credit transaction, net</t>
  </si>
  <si>
    <t>Goodwill and intangible impairments</t>
  </si>
  <si>
    <t>Other operating income (loss)</t>
  </si>
  <si>
    <t>Other non-operating income, net</t>
  </si>
  <si>
    <t>Net income (loss) attributable to common shareholders $</t>
  </si>
  <si>
    <t>Cash flows from operating activities:</t>
  </si>
  <si>
    <t>Adjustments to reconcile net income (loss) to net cash</t>
  </si>
  <si>
    <t>provided by operating activities:</t>
  </si>
  <si>
    <t>Amortization of unfavorable leases and contracts</t>
  </si>
  <si>
    <t>Net gain on extinguishment of debt</t>
  </si>
  <si>
    <t>Decrease (increase) in inventories</t>
  </si>
  <si>
    <t>Increase (decrease) in accounts payable</t>
  </si>
  <si>
    <t>Increase (decrease) in accrued expenses and other</t>
  </si>
  <si>
    <t>liabilities</t>
  </si>
  <si>
    <t>Increase (decrease) in income taxes payable</t>
  </si>
  <si>
    <t>Proceeds from sale of assets</t>
  </si>
  <si>
    <t>Purchase of available-for-sale securities</t>
  </si>
  <si>
    <t>Proceeds from sale of available-for-sale securities</t>
  </si>
  <si>
    <t>Acquisition of R2Net Inc., net of cash acquired</t>
  </si>
  <si>
    <t>Proceeds from term and bridge loans</t>
  </si>
  <si>
    <t>Repayments of term and bridge loans</t>
  </si>
  <si>
    <t>Settlement of Senior Notes, including third party fees</t>
  </si>
  <si>
    <t>Proceeds from securitization facility</t>
  </si>
  <si>
    <t>Repayments of securitization facility</t>
  </si>
  <si>
    <t>Increase (decrease) of bank overdrafts</t>
  </si>
  <si>
    <t>Other financing activities</t>
  </si>
  <si>
    <t>Increase (decrease) in cash and cash equivalents</t>
  </si>
  <si>
    <t>Effect of exchange rate changes on cash and cash</t>
  </si>
  <si>
    <t>equivalents</t>
  </si>
  <si>
    <t>Signet Jewelers DCF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</si>
</sst>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_(&quot;$&quot;* #,##0.00_);_(&quot;$&quot;* \(#,##0.00\);_(&quot;$&quot;* &quot;-&quot;??_);_(@_)"/>
    <numFmt numFmtId="171" formatCode="_(* #,##0.00_);_(* \(#,##0.00\);_(* &quot;-&quot;??_);_(@_)"/>
    <numFmt numFmtId="172" formatCode="_-* #,##0.00\ _€_-;\-* #,##0.00\ _€_-;_-* &quot;-&quot;??\ _€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1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5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3" fontId="3" fillId="2" borderId="0" xfId="0" applyNumberFormat="1" applyFont="1" applyFill="1"/>
    <xf numFmtId="0" fontId="3" fillId="2" borderId="3" xfId="0" applyFont="1" applyFill="1" applyBorder="1"/>
    <xf numFmtId="0" fontId="7" fillId="2" borderId="0" xfId="0" applyFont="1" applyFill="1"/>
    <xf numFmtId="164" fontId="7" fillId="2" borderId="0" xfId="1" applyNumberFormat="1" applyFont="1" applyFill="1"/>
    <xf numFmtId="0" fontId="3" fillId="2" borderId="2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1" fontId="3" fillId="2" borderId="0" xfId="0" applyNumberFormat="1" applyFont="1" applyFill="1"/>
    <xf numFmtId="164" fontId="7" fillId="2" borderId="3" xfId="1" applyNumberFormat="1" applyFont="1" applyFill="1" applyBorder="1"/>
    <xf numFmtId="1" fontId="3" fillId="2" borderId="3" xfId="0" applyNumberFormat="1" applyFont="1" applyFill="1" applyBorder="1"/>
    <xf numFmtId="10" fontId="3" fillId="2" borderId="0" xfId="1" applyNumberFormat="1" applyFont="1" applyFill="1"/>
    <xf numFmtId="0" fontId="0" fillId="2" borderId="3" xfId="0" applyFill="1" applyBorder="1"/>
    <xf numFmtId="3" fontId="0" fillId="2" borderId="0" xfId="0" applyNumberFormat="1" applyFill="1"/>
    <xf numFmtId="0" fontId="3" fillId="4" borderId="0" xfId="0" applyFont="1" applyFill="1"/>
    <xf numFmtId="0" fontId="3" fillId="2" borderId="7" xfId="0" applyFont="1" applyFill="1" applyBorder="1"/>
    <xf numFmtId="1" fontId="0" fillId="2" borderId="0" xfId="0" applyNumberFormat="1" applyFill="1"/>
    <xf numFmtId="1" fontId="0" fillId="2" borderId="4" xfId="0" applyNumberFormat="1" applyFill="1" applyBorder="1"/>
    <xf numFmtId="0" fontId="0" fillId="5" borderId="0" xfId="0" applyFill="1"/>
    <xf numFmtId="0" fontId="3" fillId="2" borderId="0" xfId="0" quotePrefix="1" applyFont="1" applyFill="1"/>
    <xf numFmtId="0" fontId="3" fillId="2" borderId="1" xfId="0" quotePrefix="1" applyFont="1" applyFill="1" applyBorder="1"/>
    <xf numFmtId="3" fontId="6" fillId="2" borderId="0" xfId="0" applyNumberFormat="1" applyFont="1" applyFill="1"/>
    <xf numFmtId="3" fontId="2" fillId="2" borderId="0" xfId="0" applyNumberFormat="1" applyFont="1" applyFill="1"/>
    <xf numFmtId="0" fontId="0" fillId="2" borderId="6" xfId="0" applyFill="1" applyBorder="1"/>
    <xf numFmtId="0" fontId="3" fillId="2" borderId="8" xfId="0" applyFont="1" applyFill="1" applyBorder="1"/>
    <xf numFmtId="2" fontId="6" fillId="2" borderId="0" xfId="0" applyNumberFormat="1" applyFont="1" applyFill="1"/>
    <xf numFmtId="2" fontId="2" fillId="2" borderId="0" xfId="0" applyNumberFormat="1" applyFont="1" applyFill="1"/>
    <xf numFmtId="3" fontId="0" fillId="0" borderId="0" xfId="0" applyNumberFormat="1"/>
    <xf numFmtId="3" fontId="3" fillId="2" borderId="3" xfId="0" applyNumberFormat="1" applyFont="1" applyFill="1" applyBorder="1"/>
    <xf numFmtId="0" fontId="8" fillId="2" borderId="0" xfId="0" applyFont="1" applyFill="1"/>
    <xf numFmtId="0" fontId="0" fillId="2" borderId="1" xfId="0" applyFill="1" applyBorder="1"/>
    <xf numFmtId="0" fontId="0" fillId="2" borderId="5" xfId="0" applyFill="1" applyBorder="1"/>
    <xf numFmtId="0" fontId="0" fillId="6" borderId="0" xfId="0" applyFill="1"/>
    <xf numFmtId="164" fontId="0" fillId="7" borderId="0" xfId="0" applyNumberFormat="1" applyFill="1" applyAlignment="1">
      <alignment horizontal="right"/>
    </xf>
    <xf numFmtId="0" fontId="0" fillId="7" borderId="0" xfId="0" applyFill="1" applyAlignment="1">
      <alignment horizontal="right"/>
    </xf>
    <xf numFmtId="9" fontId="0" fillId="2" borderId="0" xfId="1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0" fontId="2" fillId="2" borderId="9" xfId="0" applyFont="1" applyFill="1" applyBorder="1"/>
    <xf numFmtId="0" fontId="0" fillId="2" borderId="10" xfId="0" applyFill="1" applyBorder="1"/>
    <xf numFmtId="10" fontId="2" fillId="2" borderId="11" xfId="0" applyNumberFormat="1" applyFont="1" applyFill="1" applyBorder="1"/>
    <xf numFmtId="0" fontId="0" fillId="8" borderId="0" xfId="0" applyFill="1"/>
    <xf numFmtId="1" fontId="3" fillId="8" borderId="0" xfId="0" applyNumberFormat="1" applyFont="1" applyFill="1"/>
    <xf numFmtId="0" fontId="3" fillId="9" borderId="0" xfId="0" applyFont="1" applyFill="1"/>
    <xf numFmtId="0" fontId="3" fillId="9" borderId="0" xfId="0" applyFont="1" applyFill="1" applyAlignment="1">
      <alignment horizontal="center"/>
    </xf>
    <xf numFmtId="164" fontId="0" fillId="8" borderId="0" xfId="0" applyNumberFormat="1" applyFill="1" applyAlignment="1">
      <alignment horizontal="left"/>
    </xf>
    <xf numFmtId="164" fontId="0" fillId="8" borderId="0" xfId="1" applyNumberFormat="1" applyFont="1" applyFill="1" applyAlignment="1">
      <alignment horizontal="left"/>
    </xf>
    <xf numFmtId="2" fontId="3" fillId="2" borderId="0" xfId="0" applyNumberFormat="1" applyFont="1" applyFill="1" applyAlignment="1">
      <alignment horizontal="left"/>
    </xf>
    <xf numFmtId="2" fontId="3" fillId="2" borderId="0" xfId="0" applyNumberFormat="1" applyFont="1" applyFill="1"/>
    <xf numFmtId="2" fontId="0" fillId="2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9" fillId="10" borderId="0" xfId="0" applyNumberFormat="1" applyFont="1" applyFill="1" applyAlignment="1">
      <alignment horizontal="center"/>
    </xf>
    <xf numFmtId="1" fontId="3" fillId="2" borderId="5" xfId="0" applyNumberFormat="1" applyFont="1" applyFill="1" applyBorder="1"/>
    <xf numFmtId="0" fontId="6" fillId="4" borderId="3" xfId="0" applyFont="1" applyFill="1" applyBorder="1"/>
    <xf numFmtId="0" fontId="6" fillId="3" borderId="3" xfId="0" applyFont="1" applyFill="1" applyBorder="1"/>
    <xf numFmtId="0" fontId="10" fillId="0" borderId="0" xfId="0" applyFont="1" applyAlignment="1">
      <alignment vertical="top"/>
    </xf>
    <xf numFmtId="0" fontId="0" fillId="0" borderId="0" xfId="0" applyAlignment="1">
      <alignment vertical="top"/>
    </xf>
    <xf numFmtId="165" fontId="10" fillId="0" borderId="0" xfId="0" applyNumberFormat="1" applyFont="1" applyAlignment="1">
      <alignment vertical="top"/>
    </xf>
    <xf numFmtId="39" fontId="10" fillId="0" borderId="0" xfId="0" applyNumberFormat="1" applyFont="1" applyAlignment="1">
      <alignment vertical="top"/>
    </xf>
    <xf numFmtId="0" fontId="3" fillId="2" borderId="0" xfId="1" applyNumberFormat="1" applyFont="1" applyFill="1"/>
    <xf numFmtId="37" fontId="3" fillId="2" borderId="0" xfId="0" applyNumberFormat="1" applyFont="1" applyFill="1"/>
    <xf numFmtId="164" fontId="7" fillId="2" borderId="0" xfId="1" applyNumberFormat="1" applyFont="1" applyFill="1" applyBorder="1"/>
    <xf numFmtId="1" fontId="3" fillId="2" borderId="12" xfId="0" applyNumberFormat="1" applyFont="1" applyFill="1" applyBorder="1"/>
    <xf numFmtId="1" fontId="3" fillId="2" borderId="1" xfId="0" applyNumberFormat="1" applyFont="1" applyFill="1" applyBorder="1"/>
    <xf numFmtId="0" fontId="3" fillId="2" borderId="13" xfId="0" applyFont="1" applyFill="1" applyBorder="1"/>
    <xf numFmtId="0" fontId="7" fillId="11" borderId="0" xfId="0" applyFont="1" applyFill="1"/>
    <xf numFmtId="164" fontId="7" fillId="11" borderId="0" xfId="1" applyNumberFormat="1" applyFont="1" applyFill="1"/>
    <xf numFmtId="164" fontId="7" fillId="11" borderId="3" xfId="1" applyNumberFormat="1" applyFont="1" applyFill="1" applyBorder="1"/>
    <xf numFmtId="164" fontId="7" fillId="11" borderId="0" xfId="1" applyNumberFormat="1" applyFont="1" applyFill="1" applyBorder="1"/>
    <xf numFmtId="164" fontId="3" fillId="11" borderId="0" xfId="1" applyNumberFormat="1" applyFont="1" applyFill="1"/>
    <xf numFmtId="164" fontId="7" fillId="11" borderId="3" xfId="0" applyNumberFormat="1" applyFont="1" applyFill="1" applyBorder="1"/>
    <xf numFmtId="164" fontId="0" fillId="8" borderId="0" xfId="0" applyNumberFormat="1" applyFill="1" applyAlignment="1">
      <alignment horizontal="center"/>
    </xf>
    <xf numFmtId="3" fontId="3" fillId="2" borderId="0" xfId="1" applyNumberFormat="1" applyFont="1" applyFill="1"/>
    <xf numFmtId="3" fontId="0" fillId="0" borderId="1" xfId="0" applyNumberFormat="1" applyBorder="1"/>
    <xf numFmtId="164" fontId="3" fillId="2" borderId="3" xfId="0" applyNumberFormat="1" applyFont="1" applyFill="1" applyBorder="1"/>
    <xf numFmtId="0" fontId="3" fillId="9" borderId="0" xfId="0" applyFont="1" applyFill="1" applyAlignment="1">
      <alignment horizontal="center"/>
    </xf>
    <xf numFmtId="171" fontId="10" fillId="0" borderId="0" xfId="0" applyNumberFormat="1" applyFont="1" applyAlignment="1">
      <alignment vertical="top"/>
    </xf>
    <xf numFmtId="172" fontId="0" fillId="0" borderId="0" xfId="0" applyNumberFormat="1"/>
    <xf numFmtId="0" fontId="6" fillId="4" borderId="0" xfId="0" applyFont="1" applyFill="1" applyBorder="1"/>
    <xf numFmtId="1" fontId="3" fillId="2" borderId="0" xfId="0" applyNumberFormat="1" applyFont="1" applyFill="1" applyBorder="1"/>
    <xf numFmtId="10" fontId="3" fillId="2" borderId="0" xfId="0" applyNumberFormat="1" applyFont="1" applyFill="1" applyBorder="1"/>
    <xf numFmtId="0" fontId="3" fillId="2" borderId="0" xfId="0" applyFont="1" applyFill="1" applyBorder="1"/>
    <xf numFmtId="164" fontId="7" fillId="11" borderId="0" xfId="0" applyNumberFormat="1" applyFont="1" applyFill="1" applyBorder="1"/>
    <xf numFmtId="3" fontId="3" fillId="2" borderId="0" xfId="0" applyNumberFormat="1" applyFont="1" applyFill="1" applyBorder="1"/>
    <xf numFmtId="0" fontId="6" fillId="3" borderId="0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84064-8197-4774-A1FA-A1F3B33925A7}">
  <dimension ref="A1:CH65"/>
  <sheetViews>
    <sheetView tabSelected="1" zoomScaleNormal="100" workbookViewId="0">
      <selection activeCell="F6" sqref="F6"/>
    </sheetView>
  </sheetViews>
  <sheetFormatPr defaultRowHeight="15" x14ac:dyDescent="0.25"/>
  <cols>
    <col min="1" max="1" width="9.140625" style="2"/>
    <col min="2" max="2" width="17.28515625" style="2" customWidth="1"/>
    <col min="3" max="3" width="9.85546875" style="2" bestFit="1" customWidth="1"/>
    <col min="4" max="5" width="9.140625" style="2"/>
    <col min="6" max="6" width="11.85546875" style="2" bestFit="1" customWidth="1"/>
    <col min="7" max="7" width="10.140625" style="2" bestFit="1" customWidth="1"/>
    <col min="8" max="8" width="11.140625" style="2" bestFit="1" customWidth="1"/>
    <col min="9" max="9" width="8.42578125" style="2" customWidth="1"/>
    <col min="10" max="10" width="10.5703125" style="2" bestFit="1" customWidth="1"/>
    <col min="11" max="11" width="9.42578125" style="2" customWidth="1"/>
    <col min="12" max="12" width="10.5703125" style="2" bestFit="1" customWidth="1"/>
    <col min="13" max="15" width="11.5703125" style="2" bestFit="1" customWidth="1"/>
    <col min="16" max="17" width="12.5703125" style="2" bestFit="1" customWidth="1"/>
    <col min="18" max="18" width="10.5703125" style="2" bestFit="1" customWidth="1"/>
    <col min="19" max="16384" width="9.140625" style="2"/>
  </cols>
  <sheetData>
    <row r="1" spans="1:18" s="51" customForma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</row>
    <row r="2" spans="1:18" s="51" customFormat="1" ht="23.25" x14ac:dyDescent="0.35">
      <c r="A2" s="3"/>
      <c r="B2" s="4" t="s">
        <v>152</v>
      </c>
      <c r="C2" s="3"/>
      <c r="D2" s="3"/>
      <c r="E2" s="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0"/>
    </row>
    <row r="3" spans="1:18" s="51" customFormat="1" ht="21" x14ac:dyDescent="0.3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</row>
    <row r="4" spans="1:18" s="51" customFormat="1" x14ac:dyDescent="0.25">
      <c r="A4" s="1"/>
      <c r="B4" s="6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/>
    </row>
    <row r="5" spans="1:18" s="51" customFormat="1" x14ac:dyDescent="0.25">
      <c r="A5" s="1"/>
      <c r="B5" s="1"/>
      <c r="C5" s="7" t="s">
        <v>1</v>
      </c>
      <c r="D5" s="1"/>
      <c r="E5" s="8">
        <f>WACC!K14</f>
        <v>0.11081299121583574</v>
      </c>
      <c r="F5" s="2"/>
      <c r="G5" s="1"/>
      <c r="H5" s="1" t="s">
        <v>2</v>
      </c>
      <c r="I5" s="1"/>
      <c r="J5" s="7">
        <v>66.959999999999994</v>
      </c>
      <c r="K5" s="1"/>
      <c r="L5" s="1" t="s">
        <v>3</v>
      </c>
      <c r="M5" s="1"/>
      <c r="N5" s="7">
        <f>(J6/J5)-1</f>
        <v>0.56009378290679734</v>
      </c>
      <c r="O5" s="1"/>
      <c r="P5" s="1" t="s">
        <v>56</v>
      </c>
      <c r="Q5" s="1"/>
      <c r="R5" s="2"/>
    </row>
    <row r="6" spans="1:18" s="51" customFormat="1" x14ac:dyDescent="0.25">
      <c r="A6" s="1"/>
      <c r="B6" s="1"/>
      <c r="C6" s="7" t="s">
        <v>4</v>
      </c>
      <c r="D6" s="1"/>
      <c r="E6" s="8">
        <v>-0.01</v>
      </c>
      <c r="F6" s="2"/>
      <c r="G6" s="1"/>
      <c r="H6" s="1" t="s">
        <v>5</v>
      </c>
      <c r="I6" s="1"/>
      <c r="J6" s="57">
        <f>E64</f>
        <v>104.46387970343915</v>
      </c>
      <c r="K6" s="1"/>
      <c r="L6" s="1"/>
      <c r="M6" s="1"/>
      <c r="N6" s="1"/>
      <c r="O6" s="1"/>
      <c r="P6" s="1"/>
      <c r="Q6" s="1"/>
      <c r="R6" s="2"/>
    </row>
    <row r="7" spans="1:18" s="51" customFormat="1" x14ac:dyDescent="0.25">
      <c r="A7" s="1"/>
      <c r="B7" s="1"/>
      <c r="C7" s="1"/>
      <c r="D7" s="1"/>
      <c r="E7" s="8"/>
      <c r="F7" s="1"/>
      <c r="G7" s="1"/>
      <c r="H7" s="1"/>
      <c r="I7" s="1"/>
      <c r="J7" s="1"/>
      <c r="K7" s="18"/>
      <c r="L7" s="58"/>
      <c r="M7" s="1"/>
      <c r="N7" s="1"/>
      <c r="O7" s="1"/>
      <c r="P7" s="1"/>
      <c r="Q7" s="1"/>
      <c r="R7" s="2"/>
    </row>
    <row r="8" spans="1:18" s="51" customFormat="1" x14ac:dyDescent="0.25">
      <c r="A8" s="1"/>
      <c r="B8" s="1"/>
      <c r="C8" s="1"/>
      <c r="D8" s="1"/>
      <c r="E8" s="8"/>
      <c r="F8" s="1"/>
      <c r="G8" s="1"/>
      <c r="H8" s="1"/>
      <c r="I8" s="1"/>
      <c r="J8" s="1"/>
      <c r="K8" s="18"/>
      <c r="L8" s="1"/>
      <c r="M8" s="1"/>
      <c r="N8" s="1"/>
      <c r="O8" s="1"/>
      <c r="P8" s="1"/>
      <c r="Q8" s="1"/>
      <c r="R8" s="2"/>
    </row>
    <row r="9" spans="1:18" s="51" customFormat="1" x14ac:dyDescent="0.25">
      <c r="A9" s="1"/>
      <c r="B9" s="1"/>
      <c r="C9" s="1"/>
      <c r="D9" s="1"/>
      <c r="E9" s="1"/>
      <c r="F9" s="1"/>
      <c r="G9" s="1"/>
      <c r="H9" s="1"/>
      <c r="I9" s="1">
        <v>1</v>
      </c>
      <c r="J9" s="1">
        <f>I9+1</f>
        <v>2</v>
      </c>
      <c r="K9" s="1">
        <f t="shared" ref="K9:R9" si="0">J9+1</f>
        <v>3</v>
      </c>
      <c r="L9" s="1">
        <f t="shared" si="0"/>
        <v>4</v>
      </c>
      <c r="M9" s="1">
        <f t="shared" si="0"/>
        <v>5</v>
      </c>
      <c r="N9" s="1">
        <f t="shared" si="0"/>
        <v>6</v>
      </c>
      <c r="O9" s="1">
        <f t="shared" si="0"/>
        <v>7</v>
      </c>
      <c r="P9" s="1">
        <f t="shared" si="0"/>
        <v>8</v>
      </c>
      <c r="Q9" s="1">
        <f t="shared" si="0"/>
        <v>9</v>
      </c>
      <c r="R9" s="1">
        <f t="shared" si="0"/>
        <v>10</v>
      </c>
    </row>
    <row r="10" spans="1:18" s="51" customFormat="1" x14ac:dyDescent="0.25">
      <c r="A10" s="1"/>
      <c r="B10" s="9" t="s">
        <v>6</v>
      </c>
      <c r="C10" s="9">
        <v>2017</v>
      </c>
      <c r="D10" s="9">
        <v>2018</v>
      </c>
      <c r="E10" s="9">
        <v>2019</v>
      </c>
      <c r="F10" s="9">
        <v>2020</v>
      </c>
      <c r="G10" s="9">
        <v>2021</v>
      </c>
      <c r="H10" s="9">
        <v>2022</v>
      </c>
      <c r="I10" s="63">
        <v>2023</v>
      </c>
      <c r="J10" s="88">
        <v>2024</v>
      </c>
      <c r="K10" s="88">
        <v>2025</v>
      </c>
      <c r="L10" s="88">
        <v>2026</v>
      </c>
      <c r="M10" s="88">
        <v>2027</v>
      </c>
      <c r="N10" s="88">
        <v>2028</v>
      </c>
      <c r="O10" s="88">
        <v>2029</v>
      </c>
      <c r="P10" s="88">
        <v>2030</v>
      </c>
      <c r="Q10" s="88">
        <v>2031</v>
      </c>
      <c r="R10" s="88">
        <v>2032</v>
      </c>
    </row>
    <row r="11" spans="1:18" s="51" customFormat="1" x14ac:dyDescent="0.25">
      <c r="A11" s="1"/>
      <c r="B11" s="1" t="s">
        <v>7</v>
      </c>
      <c r="C11" s="11">
        <f>'Raw IS'!H3</f>
        <v>6253</v>
      </c>
      <c r="D11" s="11">
        <f>'Raw IS'!I3</f>
        <v>6247.1</v>
      </c>
      <c r="E11" s="11">
        <f>'Raw IS'!J3</f>
        <v>6137.1</v>
      </c>
      <c r="F11" s="11">
        <f>'Raw IS'!B4</f>
        <v>5226.8999999999996</v>
      </c>
      <c r="G11" s="11">
        <f>'Raw IS'!C4</f>
        <v>7826</v>
      </c>
      <c r="H11" s="11">
        <f>'Raw IS'!D4</f>
        <v>7842.1</v>
      </c>
      <c r="I11" s="20">
        <f t="shared" ref="I11" si="1">H11*(1+I12)</f>
        <v>7160</v>
      </c>
      <c r="J11" s="89">
        <f t="shared" ref="J11" si="2">I11*(1+J12)</f>
        <v>7180</v>
      </c>
      <c r="K11" s="89">
        <f t="shared" ref="K11" si="3">J11*(1+K12)</f>
        <v>7439.9999999999991</v>
      </c>
      <c r="L11" s="89">
        <f t="shared" ref="L11" si="4">K11*(1+L12)</f>
        <v>7514.3999999999987</v>
      </c>
      <c r="M11" s="89">
        <f t="shared" ref="M11" si="5">L11*(1+M12)</f>
        <v>7589.543999999999</v>
      </c>
      <c r="N11" s="89">
        <f t="shared" ref="N11" si="6">M11*(1+N12)</f>
        <v>7665.4394399999992</v>
      </c>
      <c r="O11" s="89">
        <f t="shared" ref="O11" si="7">N11*(1+O12)</f>
        <v>7742.0938343999997</v>
      </c>
      <c r="P11" s="89">
        <f t="shared" ref="P11" si="8">O11*(1+P12)</f>
        <v>7819.5147727439999</v>
      </c>
      <c r="Q11" s="89">
        <f t="shared" ref="Q11" si="9">P11*(1+Q12)</f>
        <v>7897.7099204714395</v>
      </c>
      <c r="R11" s="89">
        <f t="shared" ref="R11" si="10">Q11*(1+R12)</f>
        <v>7976.6870196761538</v>
      </c>
    </row>
    <row r="12" spans="1:18" s="51" customFormat="1" x14ac:dyDescent="0.25">
      <c r="A12" s="1"/>
      <c r="B12" s="75" t="s">
        <v>8</v>
      </c>
      <c r="C12" s="76"/>
      <c r="D12" s="76">
        <f>(D11/C11)-1</f>
        <v>-9.4354709739319365E-4</v>
      </c>
      <c r="E12" s="76">
        <f>(E11/D11)-1</f>
        <v>-1.7608170190968608E-2</v>
      </c>
      <c r="F12" s="76">
        <f>(F11/E11)-1</f>
        <v>-0.14831109155790201</v>
      </c>
      <c r="G12" s="76">
        <f>(G11/F11)-1</f>
        <v>0.49725458684880142</v>
      </c>
      <c r="H12" s="76">
        <f>(H11/G11)-1</f>
        <v>2.0572450805009801E-3</v>
      </c>
      <c r="I12" s="77">
        <v>-8.6979253006210122E-2</v>
      </c>
      <c r="J12" s="78">
        <v>2.7932960893854997E-3</v>
      </c>
      <c r="K12" s="78">
        <v>3.6211699164345301E-2</v>
      </c>
      <c r="L12" s="78">
        <v>0.01</v>
      </c>
      <c r="M12" s="78">
        <v>0.01</v>
      </c>
      <c r="N12" s="78">
        <v>0.01</v>
      </c>
      <c r="O12" s="78">
        <v>0.01</v>
      </c>
      <c r="P12" s="78">
        <v>0.01</v>
      </c>
      <c r="Q12" s="78">
        <v>0.01</v>
      </c>
      <c r="R12" s="78">
        <v>0.01</v>
      </c>
    </row>
    <row r="13" spans="1:18" s="51" customFormat="1" x14ac:dyDescent="0.25">
      <c r="A13" s="1"/>
      <c r="B13" s="6"/>
      <c r="C13" s="1"/>
      <c r="D13" s="1"/>
      <c r="E13" s="1"/>
      <c r="F13" s="1"/>
      <c r="G13" s="1"/>
      <c r="H13" s="1"/>
      <c r="I13" s="84"/>
      <c r="J13" s="90"/>
      <c r="K13" s="90"/>
      <c r="L13" s="90"/>
      <c r="M13" s="90"/>
      <c r="N13" s="90"/>
      <c r="O13" s="90"/>
      <c r="P13" s="90"/>
      <c r="Q13" s="90"/>
      <c r="R13" s="90"/>
    </row>
    <row r="14" spans="1:18" s="51" customFormat="1" x14ac:dyDescent="0.25">
      <c r="A14" s="1"/>
      <c r="B14" s="1" t="s">
        <v>9</v>
      </c>
      <c r="C14" s="11">
        <f>'Raw IS'!H4</f>
        <v>-4063</v>
      </c>
      <c r="D14" s="11">
        <f>'Raw IS'!I4</f>
        <v>-4024.1</v>
      </c>
      <c r="E14" s="11">
        <f>'Raw IS'!J4</f>
        <v>-3904.2</v>
      </c>
      <c r="F14" s="11">
        <f>'Raw IS'!B5</f>
        <v>-3493</v>
      </c>
      <c r="G14" s="11">
        <f>'Raw IS'!C5</f>
        <v>-4702</v>
      </c>
      <c r="H14" s="11">
        <f>'Raw IS'!D5</f>
        <v>-4790</v>
      </c>
      <c r="I14" s="72">
        <f>I16-I11</f>
        <v>-4414.1399999999994</v>
      </c>
      <c r="J14" s="73">
        <f t="shared" ref="J14:R14" si="11">J16-J11</f>
        <v>-4405.6479999999992</v>
      </c>
      <c r="K14" s="73">
        <f t="shared" si="11"/>
        <v>-4495.9919999999993</v>
      </c>
      <c r="L14" s="73">
        <f t="shared" si="11"/>
        <v>-4533.4375199999995</v>
      </c>
      <c r="M14" s="73">
        <f t="shared" si="11"/>
        <v>-4556.0032631999993</v>
      </c>
      <c r="N14" s="73">
        <f t="shared" si="11"/>
        <v>-4578.5669775119995</v>
      </c>
      <c r="O14" s="73">
        <f t="shared" si="11"/>
        <v>-4601.1263657839199</v>
      </c>
      <c r="P14" s="73">
        <f t="shared" si="11"/>
        <v>-4623.6790851235273</v>
      </c>
      <c r="Q14" s="73">
        <f t="shared" si="11"/>
        <v>-4646.2227462133478</v>
      </c>
      <c r="R14" s="73">
        <f t="shared" si="11"/>
        <v>-4668.7549126164522</v>
      </c>
    </row>
    <row r="15" spans="1:18" s="51" customFormat="1" x14ac:dyDescent="0.25">
      <c r="A15" s="1"/>
      <c r="B15" s="17"/>
      <c r="C15" s="17"/>
      <c r="D15" s="17"/>
      <c r="E15" s="17"/>
      <c r="F15" s="17"/>
      <c r="G15" s="17"/>
      <c r="H15" s="17"/>
      <c r="I15" s="12"/>
      <c r="J15" s="91"/>
      <c r="K15" s="91"/>
      <c r="L15" s="91"/>
      <c r="M15" s="91"/>
      <c r="N15" s="91"/>
      <c r="O15" s="91"/>
      <c r="P15" s="91"/>
      <c r="Q15" s="91"/>
      <c r="R15" s="91"/>
    </row>
    <row r="16" spans="1:18" s="51" customFormat="1" x14ac:dyDescent="0.25">
      <c r="A16" s="1"/>
      <c r="B16" s="1" t="s">
        <v>10</v>
      </c>
      <c r="C16" s="11">
        <f>C11+C14</f>
        <v>2190</v>
      </c>
      <c r="D16" s="11">
        <f t="shared" ref="D16:R16" si="12">D11+D14</f>
        <v>2223.0000000000005</v>
      </c>
      <c r="E16" s="11">
        <f t="shared" si="12"/>
        <v>2232.9000000000005</v>
      </c>
      <c r="F16" s="11">
        <f t="shared" si="12"/>
        <v>1733.8999999999996</v>
      </c>
      <c r="G16" s="11">
        <f t="shared" si="12"/>
        <v>3124</v>
      </c>
      <c r="H16" s="11">
        <f t="shared" si="12"/>
        <v>3052.1000000000004</v>
      </c>
      <c r="I16" s="20">
        <f>I11*I17</f>
        <v>2745.86</v>
      </c>
      <c r="J16" s="89">
        <f t="shared" ref="J16:R16" si="13">J11*J17</f>
        <v>2774.3520000000003</v>
      </c>
      <c r="K16" s="89">
        <f>K11*K17</f>
        <v>2944.0079999999998</v>
      </c>
      <c r="L16" s="89">
        <f t="shared" si="13"/>
        <v>2980.9624799999997</v>
      </c>
      <c r="M16" s="89">
        <f t="shared" si="13"/>
        <v>3033.5407367999996</v>
      </c>
      <c r="N16" s="89">
        <f t="shared" si="13"/>
        <v>3086.8724624879997</v>
      </c>
      <c r="O16" s="89">
        <f t="shared" si="13"/>
        <v>3140.9674686160797</v>
      </c>
      <c r="P16" s="89">
        <f t="shared" si="13"/>
        <v>3195.835687620473</v>
      </c>
      <c r="Q16" s="89">
        <f t="shared" si="13"/>
        <v>3251.4871742580917</v>
      </c>
      <c r="R16" s="89">
        <f t="shared" si="13"/>
        <v>3307.9321070597011</v>
      </c>
    </row>
    <row r="17" spans="1:18" s="51" customFormat="1" x14ac:dyDescent="0.25">
      <c r="A17" s="1"/>
      <c r="B17" s="75" t="s">
        <v>11</v>
      </c>
      <c r="C17" s="76">
        <f t="shared" ref="C17:H17" si="14">C16/C11</f>
        <v>0.35023188869342714</v>
      </c>
      <c r="D17" s="76">
        <f t="shared" si="14"/>
        <v>0.3558451121320293</v>
      </c>
      <c r="E17" s="76">
        <f t="shared" si="14"/>
        <v>0.36383633963924333</v>
      </c>
      <c r="F17" s="76">
        <f t="shared" si="14"/>
        <v>0.33172626222043655</v>
      </c>
      <c r="G17" s="76">
        <f t="shared" si="14"/>
        <v>0.39918221313570151</v>
      </c>
      <c r="H17" s="76">
        <f t="shared" si="14"/>
        <v>0.38919422093571876</v>
      </c>
      <c r="I17" s="80">
        <v>0.38350000000000001</v>
      </c>
      <c r="J17" s="92">
        <v>0.38640000000000002</v>
      </c>
      <c r="K17" s="92">
        <v>0.3957</v>
      </c>
      <c r="L17" s="92">
        <f t="shared" ref="L17:R17" si="15">K17+0.1%</f>
        <v>0.3967</v>
      </c>
      <c r="M17" s="92">
        <f>L17+0.3%</f>
        <v>0.3997</v>
      </c>
      <c r="N17" s="92">
        <f t="shared" ref="N17:R17" si="16">M17+0.3%</f>
        <v>0.4027</v>
      </c>
      <c r="O17" s="92">
        <f t="shared" si="16"/>
        <v>0.40570000000000001</v>
      </c>
      <c r="P17" s="92">
        <f t="shared" si="16"/>
        <v>0.40870000000000001</v>
      </c>
      <c r="Q17" s="92">
        <f t="shared" si="16"/>
        <v>0.41170000000000001</v>
      </c>
      <c r="R17" s="92">
        <f t="shared" si="16"/>
        <v>0.41470000000000001</v>
      </c>
    </row>
    <row r="18" spans="1:18" s="51" customFormat="1" x14ac:dyDescent="0.25">
      <c r="A18" s="1"/>
      <c r="B18" s="1"/>
      <c r="C18" s="11"/>
      <c r="D18" s="11"/>
      <c r="E18" s="11"/>
      <c r="F18" s="11"/>
      <c r="G18" s="11"/>
      <c r="H18" s="11"/>
      <c r="I18" s="20"/>
      <c r="J18" s="89"/>
      <c r="K18" s="89"/>
      <c r="L18" s="89"/>
      <c r="M18" s="89"/>
      <c r="N18" s="89"/>
      <c r="O18" s="89"/>
      <c r="P18" s="89"/>
      <c r="Q18" s="89"/>
      <c r="R18" s="89"/>
    </row>
    <row r="19" spans="1:18" s="51" customFormat="1" x14ac:dyDescent="0.25">
      <c r="A19" s="1"/>
      <c r="B19" s="1" t="s">
        <v>39</v>
      </c>
      <c r="C19" s="11">
        <f>'Raw IS'!H7</f>
        <v>-1872.2</v>
      </c>
      <c r="D19" s="11">
        <f>'Raw IS'!I7</f>
        <v>-1985.1</v>
      </c>
      <c r="E19" s="11">
        <f>'Raw IS'!J7</f>
        <v>-1918.2</v>
      </c>
      <c r="F19" s="11">
        <f>'Raw IS'!B8</f>
        <v>-1587.4</v>
      </c>
      <c r="G19" s="11">
        <f>'Raw IS'!C8</f>
        <v>-2230.9</v>
      </c>
      <c r="H19" s="11">
        <f>'Raw IS'!D8</f>
        <v>-2214.6</v>
      </c>
      <c r="I19" s="20">
        <f t="shared" ref="I19:R19" si="17">I20*I11</f>
        <v>-1947.5200000000002</v>
      </c>
      <c r="J19" s="89">
        <f t="shared" si="17"/>
        <v>-1952.96</v>
      </c>
      <c r="K19" s="89">
        <f t="shared" si="17"/>
        <v>-1949.2799999999997</v>
      </c>
      <c r="L19" s="89">
        <f t="shared" si="17"/>
        <v>-1968.7727999999997</v>
      </c>
      <c r="M19" s="89">
        <f t="shared" si="17"/>
        <v>-1988.4605279999998</v>
      </c>
      <c r="N19" s="89">
        <f t="shared" si="17"/>
        <v>-2008.3451332799998</v>
      </c>
      <c r="O19" s="89">
        <f t="shared" si="17"/>
        <v>-2028.4285846128</v>
      </c>
      <c r="P19" s="89">
        <f t="shared" si="17"/>
        <v>-2048.7128704589281</v>
      </c>
      <c r="Q19" s="89">
        <f t="shared" si="17"/>
        <v>-2069.1999991635171</v>
      </c>
      <c r="R19" s="89">
        <f t="shared" si="17"/>
        <v>-2089.8919991551525</v>
      </c>
    </row>
    <row r="20" spans="1:18" s="51" customFormat="1" x14ac:dyDescent="0.25">
      <c r="A20" s="1"/>
      <c r="B20" s="75" t="s">
        <v>16</v>
      </c>
      <c r="C20" s="76">
        <f t="shared" ref="C20:H20" si="18">C19/C11</f>
        <v>-0.29940828402366865</v>
      </c>
      <c r="D20" s="76">
        <f t="shared" si="18"/>
        <v>-0.31776344223719805</v>
      </c>
      <c r="E20" s="76">
        <f t="shared" si="18"/>
        <v>-0.3125580485897248</v>
      </c>
      <c r="F20" s="76">
        <f t="shared" si="18"/>
        <v>-0.30369817673955884</v>
      </c>
      <c r="G20" s="76">
        <f t="shared" si="18"/>
        <v>-0.28506261180679787</v>
      </c>
      <c r="H20" s="76">
        <f t="shared" si="18"/>
        <v>-0.28239884724754849</v>
      </c>
      <c r="I20" s="77">
        <v>-0.27200000000000002</v>
      </c>
      <c r="J20" s="78">
        <v>-0.27200000000000002</v>
      </c>
      <c r="K20" s="78">
        <v>-0.26200000000000001</v>
      </c>
      <c r="L20" s="78">
        <f>K20</f>
        <v>-0.26200000000000001</v>
      </c>
      <c r="M20" s="78">
        <f t="shared" ref="M20:R20" si="19">L20</f>
        <v>-0.26200000000000001</v>
      </c>
      <c r="N20" s="78">
        <f t="shared" si="19"/>
        <v>-0.26200000000000001</v>
      </c>
      <c r="O20" s="78">
        <f t="shared" si="19"/>
        <v>-0.26200000000000001</v>
      </c>
      <c r="P20" s="78">
        <f t="shared" si="19"/>
        <v>-0.26200000000000001</v>
      </c>
      <c r="Q20" s="78">
        <f t="shared" si="19"/>
        <v>-0.26200000000000001</v>
      </c>
      <c r="R20" s="78">
        <f t="shared" si="19"/>
        <v>-0.26200000000000001</v>
      </c>
    </row>
    <row r="21" spans="1:18" s="51" customFormat="1" x14ac:dyDescent="0.25">
      <c r="A21" s="1"/>
      <c r="B21" s="75"/>
      <c r="C21" s="76"/>
      <c r="D21" s="76"/>
      <c r="E21" s="76"/>
      <c r="F21" s="76"/>
      <c r="G21" s="76"/>
      <c r="H21" s="76"/>
      <c r="I21" s="77"/>
      <c r="J21" s="78"/>
      <c r="K21" s="78"/>
      <c r="L21" s="78"/>
      <c r="M21" s="78"/>
      <c r="N21" s="78"/>
      <c r="O21" s="78"/>
      <c r="P21" s="78"/>
      <c r="Q21" s="78"/>
      <c r="R21" s="78"/>
    </row>
    <row r="22" spans="1:18" s="51" customFormat="1" x14ac:dyDescent="0.25">
      <c r="A22" s="1"/>
      <c r="B22" s="1" t="s">
        <v>63</v>
      </c>
      <c r="C22" s="11">
        <f>SUM('Raw IS'!H5,'Raw IS'!H8:H10,'Raw IS'!H11)</f>
        <v>262.10000000000002</v>
      </c>
      <c r="D22" s="11">
        <f>SUM('Raw IS'!I5,'Raw IS'!I8:I10,'Raw IS'!I11)</f>
        <v>-1002.5</v>
      </c>
      <c r="E22" s="11">
        <f>SUM('Raw IS'!J5,'Raw IS'!J8:J10,'Raw IS'!J11)</f>
        <v>-156.4</v>
      </c>
      <c r="F22" s="11">
        <f>SUM('Raw IS'!B6,'Raw IS'!B10:B11,'Raw IS'!B12)</f>
        <v>-204.2</v>
      </c>
      <c r="G22" s="11">
        <f>SUM('Raw IS'!C6,'Raw IS'!C10:C11,'Raw IS'!C12)</f>
        <v>10.3</v>
      </c>
      <c r="H22" s="11">
        <f>SUM('Raw IS'!D6,'Raw IS'!D10:D11,'Raw IS'!D12)</f>
        <v>-232.6</v>
      </c>
      <c r="I22" s="38">
        <f>I23*I11</f>
        <v>-179</v>
      </c>
      <c r="J22" s="93">
        <f t="shared" ref="J22:R22" si="20">J23*J11</f>
        <v>-157.95999999999998</v>
      </c>
      <c r="K22" s="93">
        <f t="shared" si="20"/>
        <v>-163.67999999999998</v>
      </c>
      <c r="L22" s="93">
        <f t="shared" si="20"/>
        <v>-165.31679999999997</v>
      </c>
      <c r="M22" s="93">
        <f t="shared" si="20"/>
        <v>-166.96996799999997</v>
      </c>
      <c r="N22" s="93">
        <f t="shared" si="20"/>
        <v>-168.63966767999997</v>
      </c>
      <c r="O22" s="93">
        <f t="shared" si="20"/>
        <v>-170.32606435679998</v>
      </c>
      <c r="P22" s="93">
        <f t="shared" si="20"/>
        <v>-172.02932500036798</v>
      </c>
      <c r="Q22" s="93">
        <f t="shared" si="20"/>
        <v>-173.74961825037167</v>
      </c>
      <c r="R22" s="93">
        <f t="shared" si="20"/>
        <v>-175.48711443287539</v>
      </c>
    </row>
    <row r="23" spans="1:18" s="51" customFormat="1" x14ac:dyDescent="0.25">
      <c r="A23" s="1"/>
      <c r="B23" s="13" t="s">
        <v>16</v>
      </c>
      <c r="C23" s="14">
        <f>C22/C11</f>
        <v>4.1915880377418842E-2</v>
      </c>
      <c r="D23" s="14">
        <f t="shared" ref="D23:H23" si="21">D22/D11</f>
        <v>-0.16047446014950936</v>
      </c>
      <c r="E23" s="14">
        <f t="shared" si="21"/>
        <v>-2.5484349285493146E-2</v>
      </c>
      <c r="F23" s="14">
        <f t="shared" si="21"/>
        <v>-3.9067133482561363E-2</v>
      </c>
      <c r="G23" s="14">
        <f t="shared" si="21"/>
        <v>1.3161257347303859E-3</v>
      </c>
      <c r="H23" s="14">
        <f t="shared" si="21"/>
        <v>-2.9660422590887643E-2</v>
      </c>
      <c r="I23" s="19">
        <v>-2.5000000000000001E-2</v>
      </c>
      <c r="J23" s="71">
        <v>-2.1999999999999999E-2</v>
      </c>
      <c r="K23" s="71">
        <v>-2.1999999999999999E-2</v>
      </c>
      <c r="L23" s="71">
        <v>-2.1999999999999999E-2</v>
      </c>
      <c r="M23" s="71">
        <v>-2.1999999999999999E-2</v>
      </c>
      <c r="N23" s="71">
        <v>-2.1999999999999999E-2</v>
      </c>
      <c r="O23" s="71">
        <v>-2.1999999999999999E-2</v>
      </c>
      <c r="P23" s="71">
        <v>-2.1999999999999999E-2</v>
      </c>
      <c r="Q23" s="71">
        <v>-2.1999999999999999E-2</v>
      </c>
      <c r="R23" s="71">
        <v>-2.1999999999999999E-2</v>
      </c>
    </row>
    <row r="24" spans="1:18" s="51" customFormat="1" x14ac:dyDescent="0.25">
      <c r="A24" s="1"/>
      <c r="B24" s="1"/>
      <c r="C24" s="11"/>
      <c r="D24" s="11"/>
      <c r="E24" s="11"/>
      <c r="F24" s="11"/>
      <c r="G24" s="11"/>
      <c r="H24" s="11"/>
      <c r="I24" s="38"/>
      <c r="J24" s="93"/>
      <c r="K24" s="93"/>
      <c r="L24" s="93"/>
      <c r="M24" s="93"/>
      <c r="N24" s="93"/>
      <c r="O24" s="93"/>
      <c r="P24" s="93"/>
      <c r="Q24" s="93"/>
      <c r="R24" s="93"/>
    </row>
    <row r="25" spans="1:18" s="51" customFormat="1" x14ac:dyDescent="0.25">
      <c r="A25" s="1"/>
      <c r="B25" s="1" t="s">
        <v>12</v>
      </c>
      <c r="C25" s="11">
        <f>C19+C22</f>
        <v>-1610.1</v>
      </c>
      <c r="D25" s="11">
        <f t="shared" ref="D25:G25" si="22">D19+D22</f>
        <v>-2987.6</v>
      </c>
      <c r="E25" s="11">
        <f t="shared" si="22"/>
        <v>-2074.6</v>
      </c>
      <c r="F25" s="11">
        <f t="shared" si="22"/>
        <v>-1791.6000000000001</v>
      </c>
      <c r="G25" s="11">
        <f t="shared" si="22"/>
        <v>-2220.6</v>
      </c>
      <c r="H25" s="11">
        <f>H19+H22</f>
        <v>-2447.1999999999998</v>
      </c>
      <c r="I25" s="38">
        <f t="shared" ref="I25:R25" si="23">I19+I22</f>
        <v>-2126.5200000000004</v>
      </c>
      <c r="J25" s="93">
        <f t="shared" si="23"/>
        <v>-2110.92</v>
      </c>
      <c r="K25" s="93">
        <f t="shared" si="23"/>
        <v>-2112.9599999999996</v>
      </c>
      <c r="L25" s="93">
        <f t="shared" si="23"/>
        <v>-2134.0895999999998</v>
      </c>
      <c r="M25" s="93">
        <f t="shared" si="23"/>
        <v>-2155.4304959999999</v>
      </c>
      <c r="N25" s="93">
        <f t="shared" si="23"/>
        <v>-2176.9848009599996</v>
      </c>
      <c r="O25" s="93">
        <f t="shared" si="23"/>
        <v>-2198.7546489696001</v>
      </c>
      <c r="P25" s="93">
        <f t="shared" si="23"/>
        <v>-2220.742195459296</v>
      </c>
      <c r="Q25" s="93">
        <f t="shared" si="23"/>
        <v>-2242.9496174138885</v>
      </c>
      <c r="R25" s="93">
        <f t="shared" si="23"/>
        <v>-2265.3791135880278</v>
      </c>
    </row>
    <row r="26" spans="1:18" s="51" customFormat="1" x14ac:dyDescent="0.25">
      <c r="A26" s="1"/>
      <c r="B26" s="1"/>
      <c r="C26" s="14"/>
      <c r="D26" s="14"/>
      <c r="E26" s="14"/>
      <c r="F26" s="14"/>
      <c r="G26" s="14"/>
      <c r="H26" s="14"/>
      <c r="I26" s="19"/>
      <c r="J26" s="71"/>
      <c r="K26" s="71"/>
      <c r="L26" s="71"/>
      <c r="M26" s="71"/>
      <c r="N26" s="71"/>
      <c r="O26" s="71"/>
      <c r="P26" s="71"/>
      <c r="Q26" s="71"/>
      <c r="R26" s="71"/>
    </row>
    <row r="27" spans="1:18" s="51" customFormat="1" x14ac:dyDescent="0.25">
      <c r="A27" s="1"/>
      <c r="B27" s="1" t="s">
        <v>13</v>
      </c>
      <c r="C27" s="11">
        <f>C16+C25</f>
        <v>579.90000000000009</v>
      </c>
      <c r="D27" s="11">
        <f t="shared" ref="D27:R27" si="24">D16+D25</f>
        <v>-764.59999999999945</v>
      </c>
      <c r="E27" s="11">
        <f t="shared" si="24"/>
        <v>158.30000000000064</v>
      </c>
      <c r="F27" s="11">
        <f t="shared" si="24"/>
        <v>-57.7000000000005</v>
      </c>
      <c r="G27" s="11">
        <f t="shared" si="24"/>
        <v>903.40000000000009</v>
      </c>
      <c r="H27" s="11">
        <f t="shared" si="24"/>
        <v>604.90000000000055</v>
      </c>
      <c r="I27" s="38">
        <f t="shared" si="24"/>
        <v>619.33999999999969</v>
      </c>
      <c r="J27" s="93">
        <f t="shared" si="24"/>
        <v>663.43200000000024</v>
      </c>
      <c r="K27" s="93">
        <f t="shared" si="24"/>
        <v>831.04800000000023</v>
      </c>
      <c r="L27" s="93">
        <f t="shared" si="24"/>
        <v>846.8728799999999</v>
      </c>
      <c r="M27" s="93">
        <f t="shared" si="24"/>
        <v>878.1102407999997</v>
      </c>
      <c r="N27" s="93">
        <f t="shared" si="24"/>
        <v>909.88766152800008</v>
      </c>
      <c r="O27" s="93">
        <f t="shared" si="24"/>
        <v>942.2128196464796</v>
      </c>
      <c r="P27" s="93">
        <f t="shared" si="24"/>
        <v>975.09349216117698</v>
      </c>
      <c r="Q27" s="93">
        <f t="shared" si="24"/>
        <v>1008.5375568442032</v>
      </c>
      <c r="R27" s="93">
        <f t="shared" si="24"/>
        <v>1042.5529934716733</v>
      </c>
    </row>
    <row r="28" spans="1:18" s="51" customFormat="1" x14ac:dyDescent="0.25">
      <c r="A28" s="1"/>
      <c r="B28" s="1" t="s">
        <v>55</v>
      </c>
      <c r="C28" s="82">
        <f>SUM('Raw IS'!H13:H14)</f>
        <v>-52.7</v>
      </c>
      <c r="D28" s="82">
        <f>SUM('Raw IS'!I13:I14)</f>
        <v>-38</v>
      </c>
      <c r="E28" s="82">
        <f>SUM('Raw IS'!J13:J14)</f>
        <v>-28.6</v>
      </c>
      <c r="F28" s="82">
        <f>SUM('Raw IS'!B14:B15)</f>
        <v>-32</v>
      </c>
      <c r="G28" s="82">
        <f>SUM('Raw IS'!C14:C15)</f>
        <v>-19</v>
      </c>
      <c r="H28" s="82">
        <f>SUM('Raw IS'!D14:D15)</f>
        <v>-153.69999999999999</v>
      </c>
      <c r="I28" s="20">
        <f t="shared" ref="I28:R28" si="25">I29*I11</f>
        <v>-50.120000000000005</v>
      </c>
      <c r="J28" s="89">
        <f t="shared" si="25"/>
        <v>-50.26</v>
      </c>
      <c r="K28" s="89">
        <f t="shared" si="25"/>
        <v>-52.079999999999991</v>
      </c>
      <c r="L28" s="89">
        <f t="shared" si="25"/>
        <v>-52.600799999999992</v>
      </c>
      <c r="M28" s="89">
        <f t="shared" si="25"/>
        <v>-53.126807999999997</v>
      </c>
      <c r="N28" s="89">
        <f t="shared" si="25"/>
        <v>-53.658076079999994</v>
      </c>
      <c r="O28" s="89">
        <f t="shared" si="25"/>
        <v>-54.1946568408</v>
      </c>
      <c r="P28" s="89">
        <f t="shared" si="25"/>
        <v>-54.736603409208001</v>
      </c>
      <c r="Q28" s="89">
        <f t="shared" si="25"/>
        <v>-55.28396944330008</v>
      </c>
      <c r="R28" s="89">
        <f t="shared" si="25"/>
        <v>-55.836809137733077</v>
      </c>
    </row>
    <row r="29" spans="1:18" s="51" customFormat="1" x14ac:dyDescent="0.25">
      <c r="A29" s="1"/>
      <c r="B29" s="75" t="s">
        <v>16</v>
      </c>
      <c r="C29" s="76">
        <f t="shared" ref="C29:H29" si="26">C28/C11</f>
        <v>-8.4279545818007357E-3</v>
      </c>
      <c r="D29" s="76">
        <f t="shared" si="26"/>
        <v>-6.0828224296073374E-3</v>
      </c>
      <c r="E29" s="76">
        <f t="shared" si="26"/>
        <v>-4.6601815189584658E-3</v>
      </c>
      <c r="F29" s="76">
        <f t="shared" si="26"/>
        <v>-6.1221756681780794E-3</v>
      </c>
      <c r="G29" s="76">
        <f t="shared" si="26"/>
        <v>-2.4278047533861486E-3</v>
      </c>
      <c r="H29" s="76">
        <f t="shared" si="26"/>
        <v>-1.9599342012981216E-2</v>
      </c>
      <c r="I29" s="80">
        <v>-7.0000000000000001E-3</v>
      </c>
      <c r="J29" s="92">
        <v>-7.0000000000000001E-3</v>
      </c>
      <c r="K29" s="92">
        <v>-7.0000000000000001E-3</v>
      </c>
      <c r="L29" s="92">
        <v>-7.0000000000000001E-3</v>
      </c>
      <c r="M29" s="92">
        <v>-7.0000000000000001E-3</v>
      </c>
      <c r="N29" s="92">
        <v>-7.0000000000000001E-3</v>
      </c>
      <c r="O29" s="92">
        <v>-7.0000000000000001E-3</v>
      </c>
      <c r="P29" s="92">
        <v>-7.0000000000000001E-3</v>
      </c>
      <c r="Q29" s="92">
        <v>-7.0000000000000001E-3</v>
      </c>
      <c r="R29" s="92">
        <v>-7.0000000000000001E-3</v>
      </c>
    </row>
    <row r="30" spans="1:18" s="51" customFormat="1" x14ac:dyDescent="0.25">
      <c r="A30" s="1"/>
      <c r="B30" s="1"/>
      <c r="C30" s="69"/>
      <c r="D30" s="69"/>
      <c r="E30" s="69"/>
      <c r="F30" s="69"/>
      <c r="G30" s="69"/>
      <c r="H30" s="69"/>
      <c r="I30" s="12"/>
      <c r="J30" s="91"/>
      <c r="K30" s="91"/>
      <c r="L30" s="91"/>
      <c r="M30" s="91"/>
      <c r="N30" s="91"/>
      <c r="O30" s="91"/>
      <c r="P30" s="91"/>
      <c r="Q30" s="91"/>
      <c r="R30" s="91"/>
    </row>
    <row r="31" spans="1:18" s="51" customFormat="1" x14ac:dyDescent="0.25">
      <c r="A31" s="1"/>
      <c r="B31" s="1" t="s">
        <v>14</v>
      </c>
      <c r="C31" s="11">
        <f>C27+C28</f>
        <v>527.20000000000005</v>
      </c>
      <c r="D31" s="11">
        <f t="shared" ref="D31:H31" si="27">D27+D28</f>
        <v>-802.59999999999945</v>
      </c>
      <c r="E31" s="11">
        <f t="shared" si="27"/>
        <v>129.70000000000064</v>
      </c>
      <c r="F31" s="11">
        <f t="shared" si="27"/>
        <v>-89.7000000000005</v>
      </c>
      <c r="G31" s="11">
        <f t="shared" si="27"/>
        <v>884.40000000000009</v>
      </c>
      <c r="H31" s="11">
        <f t="shared" si="27"/>
        <v>451.20000000000056</v>
      </c>
      <c r="I31" s="38">
        <f>I27+I28</f>
        <v>569.21999999999969</v>
      </c>
      <c r="J31" s="93">
        <f t="shared" ref="D31:R31" si="28">J27+J28</f>
        <v>613.17200000000025</v>
      </c>
      <c r="K31" s="93">
        <f t="shared" si="28"/>
        <v>778.96800000000019</v>
      </c>
      <c r="L31" s="93">
        <f t="shared" si="28"/>
        <v>794.27207999999996</v>
      </c>
      <c r="M31" s="93">
        <f t="shared" si="28"/>
        <v>824.98343279999972</v>
      </c>
      <c r="N31" s="93">
        <f t="shared" si="28"/>
        <v>856.22958544800008</v>
      </c>
      <c r="O31" s="93">
        <f t="shared" si="28"/>
        <v>888.01816280567959</v>
      </c>
      <c r="P31" s="93">
        <f t="shared" si="28"/>
        <v>920.356888751969</v>
      </c>
      <c r="Q31" s="93">
        <f t="shared" si="28"/>
        <v>953.25358740090314</v>
      </c>
      <c r="R31" s="93">
        <f t="shared" si="28"/>
        <v>986.71618433394019</v>
      </c>
    </row>
    <row r="32" spans="1:18" s="51" customFormat="1" x14ac:dyDescent="0.25">
      <c r="A32" s="1"/>
      <c r="B32" s="1"/>
      <c r="C32" s="21"/>
      <c r="D32" s="21"/>
      <c r="E32" s="21"/>
      <c r="F32" s="21"/>
      <c r="G32" s="21"/>
      <c r="H32" s="69"/>
      <c r="I32" s="12"/>
      <c r="J32" s="91"/>
      <c r="K32" s="91"/>
      <c r="L32" s="91"/>
      <c r="M32" s="91"/>
      <c r="N32" s="91"/>
      <c r="O32" s="91"/>
      <c r="P32" s="91"/>
      <c r="Q32" s="91"/>
      <c r="R32" s="91"/>
    </row>
    <row r="33" spans="1:86" s="51" customFormat="1" x14ac:dyDescent="0.25">
      <c r="A33" s="1"/>
      <c r="B33" s="1" t="s">
        <v>15</v>
      </c>
      <c r="C33" s="11">
        <f>C27</f>
        <v>579.90000000000009</v>
      </c>
      <c r="D33" s="11">
        <f t="shared" ref="D33:R33" si="29">D27</f>
        <v>-764.59999999999945</v>
      </c>
      <c r="E33" s="11">
        <f t="shared" si="29"/>
        <v>158.30000000000064</v>
      </c>
      <c r="F33" s="11">
        <f t="shared" si="29"/>
        <v>-57.7000000000005</v>
      </c>
      <c r="G33" s="11">
        <f t="shared" si="29"/>
        <v>903.40000000000009</v>
      </c>
      <c r="H33" s="11">
        <f t="shared" si="29"/>
        <v>604.90000000000055</v>
      </c>
      <c r="I33" s="38">
        <f t="shared" si="29"/>
        <v>619.33999999999969</v>
      </c>
      <c r="J33" s="93">
        <f t="shared" si="29"/>
        <v>663.43200000000024</v>
      </c>
      <c r="K33" s="93">
        <f t="shared" si="29"/>
        <v>831.04800000000023</v>
      </c>
      <c r="L33" s="93">
        <f t="shared" si="29"/>
        <v>846.8728799999999</v>
      </c>
      <c r="M33" s="93">
        <f t="shared" si="29"/>
        <v>878.1102407999997</v>
      </c>
      <c r="N33" s="93">
        <f t="shared" si="29"/>
        <v>909.88766152800008</v>
      </c>
      <c r="O33" s="93">
        <f t="shared" si="29"/>
        <v>942.2128196464796</v>
      </c>
      <c r="P33" s="93">
        <f t="shared" si="29"/>
        <v>975.09349216117698</v>
      </c>
      <c r="Q33" s="93">
        <f t="shared" si="29"/>
        <v>1008.5375568442032</v>
      </c>
      <c r="R33" s="93">
        <f t="shared" si="29"/>
        <v>1042.5529934716733</v>
      </c>
    </row>
    <row r="34" spans="1:86" s="51" customFormat="1" x14ac:dyDescent="0.25">
      <c r="A34" s="1"/>
      <c r="B34" s="75" t="s">
        <v>16</v>
      </c>
      <c r="C34" s="76">
        <f t="shared" ref="C34:R34" si="30">C33/C11</f>
        <v>9.273948504717737E-2</v>
      </c>
      <c r="D34" s="76">
        <f t="shared" si="30"/>
        <v>-0.12239279025467807</v>
      </c>
      <c r="E34" s="76">
        <f t="shared" si="30"/>
        <v>2.5793941764025455E-2</v>
      </c>
      <c r="F34" s="76">
        <f t="shared" si="30"/>
        <v>-1.1039048001683694E-2</v>
      </c>
      <c r="G34" s="76">
        <f t="shared" si="30"/>
        <v>0.11543572706363406</v>
      </c>
      <c r="H34" s="76">
        <f t="shared" si="30"/>
        <v>7.7134951097282675E-2</v>
      </c>
      <c r="I34" s="77">
        <f t="shared" si="30"/>
        <v>8.6499999999999952E-2</v>
      </c>
      <c r="J34" s="78">
        <f t="shared" si="30"/>
        <v>9.2400000000000038E-2</v>
      </c>
      <c r="K34" s="78">
        <f t="shared" si="30"/>
        <v>0.11170000000000005</v>
      </c>
      <c r="L34" s="78">
        <f t="shared" si="30"/>
        <v>0.11270000000000001</v>
      </c>
      <c r="M34" s="78">
        <f t="shared" si="30"/>
        <v>0.11569999999999998</v>
      </c>
      <c r="N34" s="78">
        <f t="shared" si="30"/>
        <v>0.11870000000000003</v>
      </c>
      <c r="O34" s="78">
        <f t="shared" si="30"/>
        <v>0.12169999999999996</v>
      </c>
      <c r="P34" s="78">
        <f t="shared" si="30"/>
        <v>0.12470000000000002</v>
      </c>
      <c r="Q34" s="78">
        <f t="shared" si="30"/>
        <v>0.12770000000000004</v>
      </c>
      <c r="R34" s="78">
        <f t="shared" si="30"/>
        <v>0.13070000000000001</v>
      </c>
    </row>
    <row r="35" spans="1:86" s="51" customFormat="1" x14ac:dyDescent="0.25">
      <c r="A35" s="1"/>
      <c r="B35" s="13"/>
      <c r="C35" s="1"/>
      <c r="D35" s="1"/>
      <c r="E35" s="2"/>
      <c r="F35" s="1"/>
      <c r="G35" s="1"/>
      <c r="H35" s="1"/>
      <c r="I35" s="12"/>
      <c r="J35" s="91"/>
      <c r="K35" s="91"/>
      <c r="L35" s="91"/>
      <c r="M35" s="91"/>
      <c r="N35" s="91"/>
      <c r="O35" s="91"/>
      <c r="P35" s="91"/>
      <c r="Q35" s="91"/>
      <c r="R35" s="91"/>
    </row>
    <row r="36" spans="1:86" s="51" customFormat="1" x14ac:dyDescent="0.25">
      <c r="A36" s="1"/>
      <c r="B36" s="1" t="s">
        <v>17</v>
      </c>
      <c r="C36" s="11">
        <f>'Raw IS'!H16</f>
        <v>-7.9</v>
      </c>
      <c r="D36" s="11">
        <f>'Raw IS'!I16</f>
        <v>145.19999999999999</v>
      </c>
      <c r="E36" s="11">
        <f>'Raw IS'!J16</f>
        <v>-24.2</v>
      </c>
      <c r="F36" s="11">
        <f>'Raw IS'!B17</f>
        <v>74.5</v>
      </c>
      <c r="G36" s="11">
        <f>'Raw IS'!C17</f>
        <v>-114.5</v>
      </c>
      <c r="H36" s="11">
        <f>'Raw IS'!D17</f>
        <v>-74.5</v>
      </c>
      <c r="I36" s="20">
        <f>I33*I37</f>
        <v>-114.26822999999995</v>
      </c>
      <c r="J36" s="89">
        <f t="shared" ref="J36:R36" si="31">J33*J37</f>
        <v>-130.49707440000006</v>
      </c>
      <c r="K36" s="89">
        <f t="shared" si="31"/>
        <v>-165.96028560000005</v>
      </c>
      <c r="L36" s="89">
        <f t="shared" si="31"/>
        <v>-169.12051413599997</v>
      </c>
      <c r="M36" s="89">
        <f t="shared" si="31"/>
        <v>-175.35861508775994</v>
      </c>
      <c r="N36" s="89">
        <f t="shared" si="31"/>
        <v>-181.70456600714161</v>
      </c>
      <c r="O36" s="89">
        <f t="shared" si="31"/>
        <v>-188.15990008340196</v>
      </c>
      <c r="P36" s="89">
        <f t="shared" si="31"/>
        <v>-194.72617038458702</v>
      </c>
      <c r="Q36" s="89">
        <f t="shared" si="31"/>
        <v>-201.40495010178736</v>
      </c>
      <c r="R36" s="89">
        <f t="shared" si="31"/>
        <v>-208.19783279629314</v>
      </c>
    </row>
    <row r="37" spans="1:86" s="51" customFormat="1" x14ac:dyDescent="0.25">
      <c r="A37" s="1"/>
      <c r="B37" s="75" t="s">
        <v>18</v>
      </c>
      <c r="C37" s="79">
        <f>C36/C33</f>
        <v>-1.3623038454906016E-2</v>
      </c>
      <c r="D37" s="79">
        <f t="shared" ref="D37:H37" si="32">D36/D33</f>
        <v>-0.18990321736855884</v>
      </c>
      <c r="E37" s="79">
        <f t="shared" si="32"/>
        <v>-0.1528742893240676</v>
      </c>
      <c r="F37" s="79">
        <f t="shared" si="32"/>
        <v>-1.2911611785095209</v>
      </c>
      <c r="G37" s="79">
        <f t="shared" si="32"/>
        <v>-0.12674341377020146</v>
      </c>
      <c r="H37" s="79">
        <f t="shared" si="32"/>
        <v>-0.12316085303355916</v>
      </c>
      <c r="I37" s="80">
        <v>-0.1845</v>
      </c>
      <c r="J37" s="92">
        <v>-0.19670000000000001</v>
      </c>
      <c r="K37" s="92">
        <v>-0.19969999999999999</v>
      </c>
      <c r="L37" s="92">
        <v>-0.19969999999999999</v>
      </c>
      <c r="M37" s="92">
        <v>-0.19969999999999999</v>
      </c>
      <c r="N37" s="92">
        <v>-0.19969999999999999</v>
      </c>
      <c r="O37" s="92">
        <v>-0.19969999999999999</v>
      </c>
      <c r="P37" s="92">
        <v>-0.19969999999999999</v>
      </c>
      <c r="Q37" s="92">
        <v>-0.19969999999999999</v>
      </c>
      <c r="R37" s="92">
        <v>-0.19969999999999999</v>
      </c>
    </row>
    <row r="38" spans="1:86" s="51" customFormat="1" x14ac:dyDescent="0.25">
      <c r="A38" s="1"/>
      <c r="B38" s="1"/>
      <c r="C38" s="1"/>
      <c r="D38" s="1"/>
      <c r="E38" s="1"/>
      <c r="F38" s="1"/>
      <c r="G38" s="1"/>
      <c r="H38" s="1"/>
      <c r="I38" s="12"/>
      <c r="J38" s="91"/>
      <c r="K38" s="91"/>
      <c r="L38" s="91"/>
      <c r="M38" s="91"/>
      <c r="N38" s="91"/>
      <c r="O38" s="91"/>
      <c r="P38" s="91"/>
      <c r="Q38" s="91"/>
      <c r="R38" s="91"/>
    </row>
    <row r="39" spans="1:86" s="51" customFormat="1" x14ac:dyDescent="0.25">
      <c r="A39" s="1"/>
      <c r="B39" s="9" t="s">
        <v>19</v>
      </c>
      <c r="C39" s="9">
        <v>2017</v>
      </c>
      <c r="D39" s="9">
        <v>2018</v>
      </c>
      <c r="E39" s="10">
        <v>2019</v>
      </c>
      <c r="F39" s="9">
        <v>2020</v>
      </c>
      <c r="G39" s="9">
        <v>2021</v>
      </c>
      <c r="H39" s="9">
        <v>2022</v>
      </c>
      <c r="I39" s="64">
        <v>2023</v>
      </c>
      <c r="J39" s="94">
        <v>2024</v>
      </c>
      <c r="K39" s="94">
        <v>2025</v>
      </c>
      <c r="L39" s="94">
        <v>2026</v>
      </c>
      <c r="M39" s="94">
        <v>2027</v>
      </c>
      <c r="N39" s="94">
        <v>2028</v>
      </c>
      <c r="O39" s="94">
        <v>2029</v>
      </c>
      <c r="P39" s="94">
        <v>2030</v>
      </c>
      <c r="Q39" s="94">
        <v>2031</v>
      </c>
      <c r="R39" s="94">
        <v>2032</v>
      </c>
      <c r="S39" s="9">
        <v>2033</v>
      </c>
      <c r="T39" s="9">
        <v>2034</v>
      </c>
      <c r="U39" s="9">
        <v>2035</v>
      </c>
      <c r="V39" s="9">
        <v>2036</v>
      </c>
      <c r="W39" s="9">
        <v>2037</v>
      </c>
      <c r="X39" s="9">
        <v>2038</v>
      </c>
      <c r="Y39" s="9">
        <v>2039</v>
      </c>
      <c r="Z39" s="9">
        <v>2040</v>
      </c>
      <c r="AA39" s="9">
        <v>2041</v>
      </c>
      <c r="AB39" s="9">
        <v>2042</v>
      </c>
      <c r="AC39" s="9">
        <v>2043</v>
      </c>
      <c r="AD39" s="9">
        <v>2044</v>
      </c>
      <c r="AE39" s="9">
        <v>2045</v>
      </c>
      <c r="AF39" s="9">
        <v>2046</v>
      </c>
      <c r="AG39" s="9">
        <v>2047</v>
      </c>
      <c r="AH39" s="9">
        <v>2048</v>
      </c>
      <c r="AI39" s="9">
        <v>2049</v>
      </c>
      <c r="AJ39" s="9">
        <v>2050</v>
      </c>
      <c r="AK39" s="9">
        <v>2051</v>
      </c>
      <c r="AL39" s="9">
        <v>2052</v>
      </c>
      <c r="AM39" s="9">
        <v>2053</v>
      </c>
      <c r="AN39" s="9">
        <v>2054</v>
      </c>
      <c r="AO39" s="9">
        <v>2055</v>
      </c>
      <c r="AP39" s="9">
        <v>2056</v>
      </c>
      <c r="AQ39" s="9">
        <v>2057</v>
      </c>
      <c r="AR39" s="9">
        <v>2058</v>
      </c>
      <c r="AS39" s="9">
        <v>2059</v>
      </c>
      <c r="AT39" s="9">
        <v>2060</v>
      </c>
      <c r="AU39" s="9">
        <v>2061</v>
      </c>
      <c r="AV39" s="9">
        <v>2062</v>
      </c>
      <c r="AW39" s="9">
        <v>2063</v>
      </c>
      <c r="AX39" s="9">
        <v>2064</v>
      </c>
      <c r="AY39" s="9">
        <v>2065</v>
      </c>
      <c r="AZ39" s="9">
        <v>2066</v>
      </c>
      <c r="BA39" s="9">
        <v>2067</v>
      </c>
      <c r="BB39" s="9">
        <v>2068</v>
      </c>
      <c r="BC39" s="9">
        <v>2069</v>
      </c>
      <c r="BD39" s="9">
        <v>2070</v>
      </c>
      <c r="BE39" s="9">
        <v>2071</v>
      </c>
      <c r="BF39" s="9">
        <v>2072</v>
      </c>
      <c r="BG39" s="9">
        <v>2073</v>
      </c>
      <c r="BH39" s="9">
        <v>2074</v>
      </c>
      <c r="BI39" s="9">
        <v>2075</v>
      </c>
      <c r="BJ39" s="9">
        <v>2076</v>
      </c>
      <c r="BK39" s="9">
        <v>2077</v>
      </c>
      <c r="BL39" s="9">
        <v>2078</v>
      </c>
      <c r="BM39" s="9">
        <v>2079</v>
      </c>
      <c r="BN39" s="9">
        <v>2080</v>
      </c>
      <c r="BO39" s="9">
        <v>2081</v>
      </c>
      <c r="BP39" s="9">
        <v>2082</v>
      </c>
      <c r="BQ39" s="9">
        <v>2083</v>
      </c>
      <c r="BR39" s="9">
        <v>2084</v>
      </c>
      <c r="BS39" s="9">
        <v>2085</v>
      </c>
      <c r="BT39" s="9">
        <v>2086</v>
      </c>
      <c r="BU39" s="9">
        <v>2087</v>
      </c>
      <c r="BV39" s="9">
        <v>2088</v>
      </c>
      <c r="BW39" s="9">
        <v>2089</v>
      </c>
      <c r="BX39" s="9">
        <v>2090</v>
      </c>
      <c r="BY39" s="9">
        <v>2091</v>
      </c>
      <c r="BZ39" s="9">
        <v>2092</v>
      </c>
      <c r="CA39" s="9">
        <v>2093</v>
      </c>
      <c r="CB39" s="9">
        <v>2094</v>
      </c>
      <c r="CC39" s="9">
        <v>2095</v>
      </c>
      <c r="CD39" s="9">
        <v>2096</v>
      </c>
      <c r="CE39" s="9">
        <v>2097</v>
      </c>
      <c r="CF39" s="9">
        <v>2098</v>
      </c>
      <c r="CG39" s="9">
        <v>2099</v>
      </c>
      <c r="CH39" s="9">
        <v>2100</v>
      </c>
    </row>
    <row r="40" spans="1:86" s="51" customFormat="1" x14ac:dyDescent="0.25">
      <c r="A40" s="1"/>
      <c r="B40" s="1" t="s">
        <v>20</v>
      </c>
      <c r="C40" s="11">
        <f>'Raw CF'!I7</f>
        <v>203.4</v>
      </c>
      <c r="D40" s="11">
        <f>'Raw CF'!J7</f>
        <v>183.6</v>
      </c>
      <c r="E40" s="11">
        <f>'Raw CF'!K7</f>
        <v>178</v>
      </c>
      <c r="F40" s="11">
        <f>'Raw CF'!B8</f>
        <v>176</v>
      </c>
      <c r="G40" s="11">
        <f>'Raw CF'!C8</f>
        <v>163.5</v>
      </c>
      <c r="H40" s="11">
        <f>'Raw CF'!D8</f>
        <v>164.5</v>
      </c>
      <c r="I40" s="20">
        <v>176</v>
      </c>
      <c r="J40" s="89">
        <v>184</v>
      </c>
      <c r="K40" s="89">
        <f t="shared" ref="K40" si="33">K41*K11</f>
        <v>252.95999999999998</v>
      </c>
      <c r="L40" s="89">
        <f t="shared" ref="L40" si="34">L41*L11</f>
        <v>247.97519999999997</v>
      </c>
      <c r="M40" s="89">
        <f t="shared" ref="M40" si="35">M41*M11</f>
        <v>242.86540799999997</v>
      </c>
      <c r="N40" s="89">
        <f t="shared" ref="N40" si="36">N41*N11</f>
        <v>237.62862263999997</v>
      </c>
      <c r="O40" s="89">
        <f t="shared" ref="O40" si="37">O41*O11</f>
        <v>232.26281503199999</v>
      </c>
      <c r="P40" s="89">
        <f t="shared" ref="P40" si="38">P41*P11</f>
        <v>226.76592840957599</v>
      </c>
      <c r="Q40" s="89">
        <f t="shared" ref="Q40" si="39">Q41*Q11</f>
        <v>221.13587777320029</v>
      </c>
      <c r="R40" s="89">
        <f t="shared" ref="R40" si="40">R41*R11</f>
        <v>215.37054953125613</v>
      </c>
    </row>
    <row r="41" spans="1:86" s="51" customFormat="1" x14ac:dyDescent="0.25">
      <c r="A41" s="1"/>
      <c r="B41" s="75" t="s">
        <v>16</v>
      </c>
      <c r="C41" s="76">
        <f t="shared" ref="C41:J41" si="41">C40/C11</f>
        <v>3.2528386374540225E-2</v>
      </c>
      <c r="D41" s="76">
        <f t="shared" si="41"/>
        <v>2.9389636791471239E-2</v>
      </c>
      <c r="E41" s="76">
        <f t="shared" si="41"/>
        <v>2.9003926936175064E-2</v>
      </c>
      <c r="F41" s="76">
        <f t="shared" si="41"/>
        <v>3.3671966174979438E-2</v>
      </c>
      <c r="G41" s="76">
        <f t="shared" si="41"/>
        <v>2.0891898798875545E-2</v>
      </c>
      <c r="H41" s="76">
        <f t="shared" si="41"/>
        <v>2.0976524145318216E-2</v>
      </c>
      <c r="I41" s="77">
        <f t="shared" si="41"/>
        <v>2.4581005586592177E-2</v>
      </c>
      <c r="J41" s="78">
        <f t="shared" si="41"/>
        <v>2.5626740947075208E-2</v>
      </c>
      <c r="K41" s="78">
        <v>3.4000000000000002E-2</v>
      </c>
      <c r="L41" s="78">
        <f t="shared" ref="L41:R41" si="42">K41-0.1%</f>
        <v>3.3000000000000002E-2</v>
      </c>
      <c r="M41" s="78">
        <f t="shared" si="42"/>
        <v>3.2000000000000001E-2</v>
      </c>
      <c r="N41" s="78">
        <f t="shared" si="42"/>
        <v>3.1E-2</v>
      </c>
      <c r="O41" s="78">
        <f t="shared" si="42"/>
        <v>0.03</v>
      </c>
      <c r="P41" s="78">
        <f t="shared" si="42"/>
        <v>2.8999999999999998E-2</v>
      </c>
      <c r="Q41" s="78">
        <f t="shared" si="42"/>
        <v>2.7999999999999997E-2</v>
      </c>
      <c r="R41" s="78">
        <f t="shared" si="42"/>
        <v>2.6999999999999996E-2</v>
      </c>
    </row>
    <row r="42" spans="1:86" s="51" customFormat="1" x14ac:dyDescent="0.25">
      <c r="A42" s="1"/>
      <c r="B42" s="1"/>
      <c r="C42" s="1"/>
      <c r="D42" s="1"/>
      <c r="E42" s="2"/>
      <c r="F42" s="1"/>
      <c r="G42" s="1"/>
      <c r="H42" s="1"/>
      <c r="I42" s="12"/>
      <c r="J42" s="91"/>
      <c r="K42" s="91"/>
      <c r="L42" s="91"/>
      <c r="M42" s="91"/>
      <c r="N42" s="91"/>
      <c r="O42" s="91"/>
      <c r="P42" s="91"/>
      <c r="Q42" s="91"/>
      <c r="R42" s="91"/>
    </row>
    <row r="43" spans="1:86" s="51" customFormat="1" x14ac:dyDescent="0.25">
      <c r="A43" s="1"/>
      <c r="B43" s="1" t="s">
        <v>21</v>
      </c>
      <c r="C43" s="11">
        <f>'Raw CF'!I30</f>
        <v>-237.4</v>
      </c>
      <c r="D43" s="11">
        <f>'Raw CF'!J30</f>
        <v>-133.5</v>
      </c>
      <c r="E43" s="11">
        <f>'Raw CF'!K30</f>
        <v>-136.30000000000001</v>
      </c>
      <c r="F43" s="37">
        <f>'Raw CF'!B31</f>
        <v>-83</v>
      </c>
      <c r="G43" s="37">
        <f>'Raw CF'!C31</f>
        <v>-129.6</v>
      </c>
      <c r="H43" s="37">
        <f>'Raw CF'!D31</f>
        <v>-138.9</v>
      </c>
      <c r="I43" s="20">
        <v>-197.72</v>
      </c>
      <c r="J43" s="89">
        <v>-182.81</v>
      </c>
      <c r="K43" s="89">
        <v>-235.33</v>
      </c>
      <c r="L43" s="89">
        <f t="shared" ref="K43:Q43" si="43">L44*L11</f>
        <v>-230.16889999999998</v>
      </c>
      <c r="M43" s="89">
        <f t="shared" si="43"/>
        <v>-224.88104499999997</v>
      </c>
      <c r="N43" s="89">
        <f t="shared" si="43"/>
        <v>-219.46441600999998</v>
      </c>
      <c r="O43" s="89">
        <f t="shared" si="43"/>
        <v>-213.91696633569998</v>
      </c>
      <c r="P43" s="89">
        <f t="shared" si="43"/>
        <v>-208.23662122631299</v>
      </c>
      <c r="Q43" s="89">
        <f t="shared" si="43"/>
        <v>-202.42127751810466</v>
      </c>
      <c r="R43" s="89">
        <f>R44*R11</f>
        <v>-196.46880327360955</v>
      </c>
    </row>
    <row r="44" spans="1:86" s="51" customFormat="1" x14ac:dyDescent="0.25">
      <c r="A44" s="1"/>
      <c r="B44" s="75" t="s">
        <v>16</v>
      </c>
      <c r="C44" s="76">
        <f t="shared" ref="C44:K44" si="44">C43/C11</f>
        <v>-3.7965776427314891E-2</v>
      </c>
      <c r="D44" s="76">
        <f t="shared" si="44"/>
        <v>-2.1369915640857357E-2</v>
      </c>
      <c r="E44" s="76">
        <f t="shared" si="44"/>
        <v>-2.2209186749441921E-2</v>
      </c>
      <c r="F44" s="76">
        <f t="shared" si="44"/>
        <v>-1.5879393139336891E-2</v>
      </c>
      <c r="G44" s="76">
        <f t="shared" si="44"/>
        <v>-1.6560184002044467E-2</v>
      </c>
      <c r="H44" s="76">
        <f t="shared" si="44"/>
        <v>-1.7712092424223103E-2</v>
      </c>
      <c r="I44" s="77">
        <f t="shared" si="44"/>
        <v>-2.7614525139664805E-2</v>
      </c>
      <c r="J44" s="78">
        <f t="shared" si="44"/>
        <v>-2.5461002785515319E-2</v>
      </c>
      <c r="K44" s="78">
        <f t="shared" si="44"/>
        <v>-3.1630376344086025E-2</v>
      </c>
      <c r="L44" s="78">
        <f>K44+0.1%</f>
        <v>-3.0630376344086024E-2</v>
      </c>
      <c r="M44" s="78">
        <f t="shared" ref="M44:R44" si="45">L44+0.1%</f>
        <v>-2.9630376344086023E-2</v>
      </c>
      <c r="N44" s="78">
        <f t="shared" si="45"/>
        <v>-2.8630376344086023E-2</v>
      </c>
      <c r="O44" s="78">
        <f t="shared" si="45"/>
        <v>-2.7630376344086022E-2</v>
      </c>
      <c r="P44" s="78">
        <f t="shared" si="45"/>
        <v>-2.6630376344086021E-2</v>
      </c>
      <c r="Q44" s="78">
        <f t="shared" si="45"/>
        <v>-2.563037634408602E-2</v>
      </c>
      <c r="R44" s="78">
        <f t="shared" si="45"/>
        <v>-2.4630376344086019E-2</v>
      </c>
    </row>
    <row r="45" spans="1:86" s="51" customFormat="1" x14ac:dyDescent="0.25">
      <c r="A45" s="1"/>
      <c r="B45" s="1"/>
      <c r="C45" s="1"/>
      <c r="D45" s="1"/>
      <c r="E45" s="2"/>
      <c r="F45" s="1"/>
      <c r="G45" s="1"/>
      <c r="H45" s="1"/>
      <c r="I45" s="12"/>
      <c r="J45" s="91"/>
      <c r="K45" s="91"/>
      <c r="L45" s="91"/>
      <c r="M45" s="91"/>
      <c r="N45" s="91"/>
      <c r="O45" s="91"/>
      <c r="P45" s="91"/>
      <c r="Q45" s="91"/>
      <c r="R45" s="91"/>
    </row>
    <row r="46" spans="1:86" s="51" customFormat="1" x14ac:dyDescent="0.25">
      <c r="A46" s="1"/>
      <c r="B46" s="1" t="s">
        <v>22</v>
      </c>
      <c r="C46" s="11">
        <f>SUM('Raw CF'!I17:I27)</f>
        <v>1276.3999999999999</v>
      </c>
      <c r="D46" s="11">
        <f>SUM('Raw CF'!J17:J27)</f>
        <v>291.19999999999993</v>
      </c>
      <c r="E46" s="11">
        <f>SUM('Raw CF'!K17:K27)</f>
        <v>176.20000000000005</v>
      </c>
      <c r="F46" s="70">
        <f>SUM('Raw CF'!B19:B28)</f>
        <v>886.2</v>
      </c>
      <c r="G46" s="70">
        <f>SUM('Raw CF'!C19:C28)</f>
        <v>275.00000000000006</v>
      </c>
      <c r="H46" s="70">
        <f>SUM('Raw CF'!D19:D28)</f>
        <v>152.19999999999999</v>
      </c>
      <c r="I46" s="20">
        <f t="shared" ref="I46:R46" si="46">I47*I11</f>
        <v>143.20000000000002</v>
      </c>
      <c r="J46" s="89">
        <f t="shared" si="46"/>
        <v>215.4</v>
      </c>
      <c r="K46" s="89">
        <f t="shared" si="46"/>
        <v>223.19999999999996</v>
      </c>
      <c r="L46" s="89">
        <f t="shared" si="46"/>
        <v>225.43199999999996</v>
      </c>
      <c r="M46" s="89">
        <f t="shared" si="46"/>
        <v>227.68631999999997</v>
      </c>
      <c r="N46" s="89">
        <f t="shared" si="46"/>
        <v>229.96318319999997</v>
      </c>
      <c r="O46" s="89">
        <f t="shared" si="46"/>
        <v>232.26281503199999</v>
      </c>
      <c r="P46" s="89">
        <f t="shared" si="46"/>
        <v>234.58544318231998</v>
      </c>
      <c r="Q46" s="89">
        <f t="shared" si="46"/>
        <v>236.93129761414318</v>
      </c>
      <c r="R46" s="89">
        <f t="shared" si="46"/>
        <v>239.30061059028461</v>
      </c>
    </row>
    <row r="47" spans="1:86" s="51" customFormat="1" x14ac:dyDescent="0.25">
      <c r="A47" s="1"/>
      <c r="B47" s="75" t="s">
        <v>16</v>
      </c>
      <c r="C47" s="76">
        <f t="shared" ref="C47:H47" si="47">C46/C11</f>
        <v>0.20412601951063486</v>
      </c>
      <c r="D47" s="76">
        <f t="shared" si="47"/>
        <v>4.6613628723727797E-2</v>
      </c>
      <c r="E47" s="76">
        <f t="shared" si="47"/>
        <v>2.8710628798618246E-2</v>
      </c>
      <c r="F47" s="76">
        <f t="shared" si="47"/>
        <v>0.16954600241060669</v>
      </c>
      <c r="G47" s="76">
        <f t="shared" si="47"/>
        <v>3.5139279325325845E-2</v>
      </c>
      <c r="H47" s="76">
        <f t="shared" si="47"/>
        <v>1.9408066716823297E-2</v>
      </c>
      <c r="I47" s="80">
        <v>0.02</v>
      </c>
      <c r="J47" s="92">
        <v>0.03</v>
      </c>
      <c r="K47" s="92">
        <v>0.03</v>
      </c>
      <c r="L47" s="92">
        <v>0.03</v>
      </c>
      <c r="M47" s="92">
        <v>0.03</v>
      </c>
      <c r="N47" s="92">
        <v>0.03</v>
      </c>
      <c r="O47" s="92">
        <v>0.03</v>
      </c>
      <c r="P47" s="92">
        <v>0.03</v>
      </c>
      <c r="Q47" s="92">
        <v>0.03</v>
      </c>
      <c r="R47" s="92">
        <v>0.03</v>
      </c>
    </row>
    <row r="48" spans="1:86" s="51" customFormat="1" x14ac:dyDescent="0.25">
      <c r="A48" s="1"/>
      <c r="B48" s="1"/>
      <c r="C48" s="1"/>
      <c r="D48" s="1"/>
      <c r="E48" s="1"/>
      <c r="F48" s="1"/>
      <c r="G48" s="1"/>
      <c r="H48" s="1"/>
      <c r="I48" s="12"/>
      <c r="J48" s="91"/>
      <c r="K48" s="91"/>
      <c r="L48" s="91"/>
      <c r="M48" s="91"/>
      <c r="N48" s="91"/>
      <c r="O48" s="91"/>
      <c r="P48" s="91"/>
      <c r="Q48" s="91"/>
      <c r="R48" s="91"/>
    </row>
    <row r="49" spans="1:86" s="51" customFormat="1" x14ac:dyDescent="0.25">
      <c r="A49" s="1"/>
      <c r="B49" s="9" t="s">
        <v>23</v>
      </c>
      <c r="C49" s="11">
        <f>C33+C36</f>
        <v>572.00000000000011</v>
      </c>
      <c r="D49" s="11">
        <f t="shared" ref="D49:R49" si="48">D33+D36</f>
        <v>-619.39999999999941</v>
      </c>
      <c r="E49" s="11">
        <f t="shared" si="48"/>
        <v>134.10000000000065</v>
      </c>
      <c r="F49" s="11">
        <f t="shared" si="48"/>
        <v>16.7999999999995</v>
      </c>
      <c r="G49" s="11">
        <f t="shared" si="48"/>
        <v>788.90000000000009</v>
      </c>
      <c r="H49" s="11">
        <f t="shared" si="48"/>
        <v>530.40000000000055</v>
      </c>
      <c r="I49" s="38">
        <f t="shared" si="48"/>
        <v>505.07176999999973</v>
      </c>
      <c r="J49" s="93">
        <f t="shared" si="48"/>
        <v>532.93492560000016</v>
      </c>
      <c r="K49" s="93">
        <f t="shared" si="48"/>
        <v>665.08771440000021</v>
      </c>
      <c r="L49" s="93">
        <f t="shared" si="48"/>
        <v>677.7523658639999</v>
      </c>
      <c r="M49" s="93">
        <f t="shared" si="48"/>
        <v>702.75162571223973</v>
      </c>
      <c r="N49" s="93">
        <f t="shared" si="48"/>
        <v>728.1830955208585</v>
      </c>
      <c r="O49" s="93">
        <f t="shared" si="48"/>
        <v>754.05291956307769</v>
      </c>
      <c r="P49" s="93">
        <f t="shared" si="48"/>
        <v>780.36732177658996</v>
      </c>
      <c r="Q49" s="93">
        <f t="shared" si="48"/>
        <v>807.13260674241587</v>
      </c>
      <c r="R49" s="93">
        <f t="shared" si="48"/>
        <v>834.35516067538015</v>
      </c>
    </row>
    <row r="50" spans="1:86" s="51" customFormat="1" x14ac:dyDescent="0.25">
      <c r="A50" s="1"/>
      <c r="B50" s="9" t="s">
        <v>50</v>
      </c>
      <c r="C50" s="11"/>
      <c r="D50" s="11"/>
      <c r="E50" s="11"/>
      <c r="F50" s="11"/>
      <c r="G50" s="11"/>
      <c r="H50" s="11"/>
      <c r="I50" s="38"/>
      <c r="J50" s="93"/>
      <c r="K50" s="93"/>
      <c r="L50" s="93"/>
      <c r="M50" s="93"/>
      <c r="N50" s="93"/>
      <c r="O50" s="93"/>
      <c r="P50" s="93"/>
      <c r="Q50" s="93"/>
      <c r="R50" s="93"/>
    </row>
    <row r="51" spans="1:86" s="51" customFormat="1" x14ac:dyDescent="0.25">
      <c r="A51" s="1"/>
      <c r="B51" s="9" t="s">
        <v>24</v>
      </c>
      <c r="C51" s="11">
        <f t="shared" ref="C51:G51" si="49">C31+C36+C50</f>
        <v>519.30000000000007</v>
      </c>
      <c r="D51" s="11">
        <f t="shared" si="49"/>
        <v>-657.39999999999941</v>
      </c>
      <c r="E51" s="11">
        <f t="shared" si="49"/>
        <v>105.50000000000064</v>
      </c>
      <c r="F51" s="11">
        <f t="shared" si="49"/>
        <v>-15.2000000000005</v>
      </c>
      <c r="G51" s="11">
        <f t="shared" si="49"/>
        <v>769.90000000000009</v>
      </c>
      <c r="H51" s="11">
        <f>H31+H36+H50</f>
        <v>376.70000000000056</v>
      </c>
      <c r="I51" s="38">
        <f t="shared" ref="I51:R51" si="50">I31+I36+I50</f>
        <v>454.95176999999973</v>
      </c>
      <c r="J51" s="93">
        <f t="shared" si="50"/>
        <v>482.67492560000017</v>
      </c>
      <c r="K51" s="93">
        <f t="shared" si="50"/>
        <v>613.00771440000017</v>
      </c>
      <c r="L51" s="93">
        <f t="shared" si="50"/>
        <v>625.15156586399996</v>
      </c>
      <c r="M51" s="93">
        <f t="shared" si="50"/>
        <v>649.62481771223975</v>
      </c>
      <c r="N51" s="93">
        <f t="shared" si="50"/>
        <v>674.5250194408585</v>
      </c>
      <c r="O51" s="93">
        <f t="shared" si="50"/>
        <v>699.85826272227769</v>
      </c>
      <c r="P51" s="93">
        <f t="shared" si="50"/>
        <v>725.63071836738197</v>
      </c>
      <c r="Q51" s="93">
        <f t="shared" si="50"/>
        <v>751.84863729911581</v>
      </c>
      <c r="R51" s="93">
        <f t="shared" si="50"/>
        <v>778.51835153764705</v>
      </c>
      <c r="S51" s="52">
        <f>R51*(1+$E$6)</f>
        <v>770.73316802227055</v>
      </c>
      <c r="T51" s="52">
        <f t="shared" ref="T51:CE51" si="51">S51*(1+$E$6)</f>
        <v>763.0258363420478</v>
      </c>
      <c r="U51" s="52">
        <f t="shared" si="51"/>
        <v>755.39557797862733</v>
      </c>
      <c r="V51" s="52">
        <f t="shared" si="51"/>
        <v>747.84162219884104</v>
      </c>
      <c r="W51" s="52">
        <f t="shared" si="51"/>
        <v>740.36320597685267</v>
      </c>
      <c r="X51" s="52">
        <f t="shared" si="51"/>
        <v>732.95957391708419</v>
      </c>
      <c r="Y51" s="52">
        <f t="shared" si="51"/>
        <v>725.62997817791336</v>
      </c>
      <c r="Z51" s="52">
        <f t="shared" si="51"/>
        <v>718.37367839613421</v>
      </c>
      <c r="AA51" s="52">
        <f t="shared" si="51"/>
        <v>711.1899416121729</v>
      </c>
      <c r="AB51" s="52">
        <f t="shared" si="51"/>
        <v>704.07804219605111</v>
      </c>
      <c r="AC51" s="52">
        <f t="shared" si="51"/>
        <v>697.03726177409055</v>
      </c>
      <c r="AD51" s="52">
        <f t="shared" si="51"/>
        <v>690.06688915634959</v>
      </c>
      <c r="AE51" s="52">
        <f t="shared" si="51"/>
        <v>683.16622026478603</v>
      </c>
      <c r="AF51" s="52">
        <f t="shared" si="51"/>
        <v>676.33455806213817</v>
      </c>
      <c r="AG51" s="52">
        <f t="shared" si="51"/>
        <v>669.5712124815168</v>
      </c>
      <c r="AH51" s="52">
        <f t="shared" si="51"/>
        <v>662.87550035670165</v>
      </c>
      <c r="AI51" s="52">
        <f t="shared" si="51"/>
        <v>656.24674535313466</v>
      </c>
      <c r="AJ51" s="52">
        <f t="shared" si="51"/>
        <v>649.68427789960333</v>
      </c>
      <c r="AK51" s="52">
        <f t="shared" si="51"/>
        <v>643.18743512060735</v>
      </c>
      <c r="AL51" s="52">
        <f t="shared" si="51"/>
        <v>636.75556076940131</v>
      </c>
      <c r="AM51" s="52">
        <f t="shared" si="51"/>
        <v>630.38800516170727</v>
      </c>
      <c r="AN51" s="52">
        <f t="shared" si="51"/>
        <v>624.08412511009021</v>
      </c>
      <c r="AO51" s="52">
        <f t="shared" si="51"/>
        <v>617.84328385898925</v>
      </c>
      <c r="AP51" s="52">
        <f t="shared" si="51"/>
        <v>611.6648510203994</v>
      </c>
      <c r="AQ51" s="52">
        <f t="shared" si="51"/>
        <v>605.54820251019544</v>
      </c>
      <c r="AR51" s="52">
        <f t="shared" si="51"/>
        <v>599.49272048509351</v>
      </c>
      <c r="AS51" s="52">
        <f t="shared" si="51"/>
        <v>593.4977932802426</v>
      </c>
      <c r="AT51" s="52">
        <f t="shared" si="51"/>
        <v>587.56281534744016</v>
      </c>
      <c r="AU51" s="52">
        <f t="shared" si="51"/>
        <v>581.68718719396577</v>
      </c>
      <c r="AV51" s="52">
        <f t="shared" si="51"/>
        <v>575.87031532202616</v>
      </c>
      <c r="AW51" s="52">
        <f t="shared" si="51"/>
        <v>570.11161216880589</v>
      </c>
      <c r="AX51" s="52">
        <f t="shared" si="51"/>
        <v>564.41049604711782</v>
      </c>
      <c r="AY51" s="52">
        <f t="shared" si="51"/>
        <v>558.76639108664665</v>
      </c>
      <c r="AZ51" s="52">
        <f t="shared" si="51"/>
        <v>553.17872717578018</v>
      </c>
      <c r="BA51" s="52">
        <f t="shared" si="51"/>
        <v>547.64693990402236</v>
      </c>
      <c r="BB51" s="52">
        <f t="shared" si="51"/>
        <v>542.17047050498218</v>
      </c>
      <c r="BC51" s="52">
        <f t="shared" si="51"/>
        <v>536.74876579993236</v>
      </c>
      <c r="BD51" s="52">
        <f t="shared" si="51"/>
        <v>531.38127814193308</v>
      </c>
      <c r="BE51" s="52">
        <f t="shared" si="51"/>
        <v>526.06746536051378</v>
      </c>
      <c r="BF51" s="52">
        <f t="shared" si="51"/>
        <v>520.8067907069086</v>
      </c>
      <c r="BG51" s="52">
        <f t="shared" si="51"/>
        <v>515.59872279983949</v>
      </c>
      <c r="BH51" s="52">
        <f t="shared" si="51"/>
        <v>510.44273557184107</v>
      </c>
      <c r="BI51" s="52">
        <f t="shared" si="51"/>
        <v>505.33830821612264</v>
      </c>
      <c r="BJ51" s="52">
        <f t="shared" si="51"/>
        <v>500.28492513396139</v>
      </c>
      <c r="BK51" s="52">
        <f t="shared" si="51"/>
        <v>495.28207588262177</v>
      </c>
      <c r="BL51" s="52">
        <f t="shared" si="51"/>
        <v>490.32925512379552</v>
      </c>
      <c r="BM51" s="52">
        <f t="shared" si="51"/>
        <v>485.42596257255758</v>
      </c>
      <c r="BN51" s="52">
        <f t="shared" si="51"/>
        <v>480.57170294683198</v>
      </c>
      <c r="BO51" s="52">
        <f t="shared" si="51"/>
        <v>475.76598591736365</v>
      </c>
      <c r="BP51" s="52">
        <f t="shared" si="51"/>
        <v>471.00832605818999</v>
      </c>
      <c r="BQ51" s="52">
        <f t="shared" si="51"/>
        <v>466.29824279760811</v>
      </c>
      <c r="BR51" s="52">
        <f t="shared" si="51"/>
        <v>461.63526036963202</v>
      </c>
      <c r="BS51" s="52">
        <f t="shared" si="51"/>
        <v>457.01890776593569</v>
      </c>
      <c r="BT51" s="52">
        <f t="shared" si="51"/>
        <v>452.44871868827636</v>
      </c>
      <c r="BU51" s="52">
        <f t="shared" si="51"/>
        <v>447.92423150139359</v>
      </c>
      <c r="BV51" s="52">
        <f t="shared" si="51"/>
        <v>443.44498918637964</v>
      </c>
      <c r="BW51" s="52">
        <f t="shared" si="51"/>
        <v>439.01053929451587</v>
      </c>
      <c r="BX51" s="52">
        <f t="shared" si="51"/>
        <v>434.62043390157072</v>
      </c>
      <c r="BY51" s="52">
        <f t="shared" si="51"/>
        <v>430.27422956255504</v>
      </c>
      <c r="BZ51" s="52">
        <f t="shared" si="51"/>
        <v>425.9714872669295</v>
      </c>
      <c r="CA51" s="52">
        <f t="shared" si="51"/>
        <v>421.71177239426021</v>
      </c>
      <c r="CB51" s="52">
        <f t="shared" si="51"/>
        <v>417.49465467031763</v>
      </c>
      <c r="CC51" s="52">
        <f t="shared" si="51"/>
        <v>413.31970812361448</v>
      </c>
      <c r="CD51" s="52">
        <f t="shared" si="51"/>
        <v>409.1865110423783</v>
      </c>
      <c r="CE51" s="52">
        <f t="shared" si="51"/>
        <v>405.09464593195452</v>
      </c>
      <c r="CF51" s="52">
        <f t="shared" ref="CF51:CH51" si="52">CE51*(1+$E$6)</f>
        <v>401.04369947263496</v>
      </c>
      <c r="CG51" s="52">
        <f t="shared" si="52"/>
        <v>397.03326247790858</v>
      </c>
      <c r="CH51" s="52">
        <f t="shared" si="52"/>
        <v>393.0629298531295</v>
      </c>
    </row>
    <row r="52" spans="1:86" s="51" customFormat="1" x14ac:dyDescent="0.25">
      <c r="A52" s="1"/>
      <c r="B52" s="6"/>
      <c r="C52" s="11"/>
      <c r="D52" s="11"/>
      <c r="E52" s="11"/>
      <c r="F52" s="11"/>
      <c r="G52" s="11"/>
      <c r="H52" s="11"/>
      <c r="I52" s="12"/>
      <c r="J52" s="91"/>
      <c r="K52" s="91"/>
      <c r="L52" s="91"/>
      <c r="M52" s="91"/>
      <c r="N52" s="91"/>
      <c r="O52" s="91"/>
      <c r="P52" s="91"/>
      <c r="Q52" s="91"/>
      <c r="R52" s="91"/>
    </row>
    <row r="53" spans="1:86" s="51" customFormat="1" x14ac:dyDescent="0.25">
      <c r="A53" s="1"/>
      <c r="B53" s="9" t="s">
        <v>25</v>
      </c>
      <c r="C53" s="11">
        <f>C49+C40+C43-C46</f>
        <v>-738.39999999999975</v>
      </c>
      <c r="D53" s="11">
        <f t="shared" ref="C53:R53" si="53">D49+D40+D43-D46</f>
        <v>-860.49999999999932</v>
      </c>
      <c r="E53" s="11">
        <f t="shared" si="53"/>
        <v>-0.39999999999940883</v>
      </c>
      <c r="F53" s="11">
        <f t="shared" si="53"/>
        <v>-776.40000000000055</v>
      </c>
      <c r="G53" s="11">
        <f t="shared" si="53"/>
        <v>547.79999999999995</v>
      </c>
      <c r="H53" s="11">
        <f t="shared" si="53"/>
        <v>403.80000000000058</v>
      </c>
      <c r="I53" s="38">
        <f>I49+I40+I43-I46</f>
        <v>340.15176999999971</v>
      </c>
      <c r="J53" s="93">
        <f t="shared" si="53"/>
        <v>318.72492560000012</v>
      </c>
      <c r="K53" s="93">
        <f t="shared" si="53"/>
        <v>459.51771440000016</v>
      </c>
      <c r="L53" s="93">
        <f t="shared" si="53"/>
        <v>470.1266658639999</v>
      </c>
      <c r="M53" s="93">
        <f t="shared" si="53"/>
        <v>493.04966871223979</v>
      </c>
      <c r="N53" s="93">
        <f t="shared" si="53"/>
        <v>516.38411895085846</v>
      </c>
      <c r="O53" s="93">
        <f t="shared" si="53"/>
        <v>540.13595322737774</v>
      </c>
      <c r="P53" s="93">
        <f t="shared" si="53"/>
        <v>564.31118577753296</v>
      </c>
      <c r="Q53" s="93">
        <f t="shared" si="53"/>
        <v>588.91590938336822</v>
      </c>
      <c r="R53" s="93">
        <f t="shared" si="53"/>
        <v>613.95629634274212</v>
      </c>
    </row>
    <row r="54" spans="1:86" s="51" customFormat="1" x14ac:dyDescent="0.25">
      <c r="A54" s="1"/>
      <c r="B54" s="24" t="s">
        <v>26</v>
      </c>
      <c r="C54" s="1"/>
      <c r="D54" s="1"/>
      <c r="E54" s="1"/>
      <c r="F54" s="1"/>
      <c r="G54" s="1"/>
      <c r="H54" s="1"/>
      <c r="I54" s="72">
        <f t="shared" ref="I54:R54" si="54">I53/((1+$E$5)^I9)</f>
        <v>306.2187539125627</v>
      </c>
      <c r="J54" s="73">
        <f t="shared" si="54"/>
        <v>258.30578210767067</v>
      </c>
      <c r="K54" s="73">
        <f t="shared" si="54"/>
        <v>335.25819867474883</v>
      </c>
      <c r="L54" s="73">
        <f t="shared" si="54"/>
        <v>308.78136605044563</v>
      </c>
      <c r="M54" s="73">
        <f t="shared" si="54"/>
        <v>291.5317904838048</v>
      </c>
      <c r="N54" s="73">
        <f t="shared" si="54"/>
        <v>274.86989444523789</v>
      </c>
      <c r="O54" s="73">
        <f t="shared" si="54"/>
        <v>258.83108587475488</v>
      </c>
      <c r="P54" s="73">
        <f t="shared" si="54"/>
        <v>243.43950522730103</v>
      </c>
      <c r="Q54" s="73">
        <f t="shared" si="54"/>
        <v>228.70977901432732</v>
      </c>
      <c r="R54" s="73">
        <f t="shared" si="54"/>
        <v>214.64854786281302</v>
      </c>
    </row>
    <row r="55" spans="1:86" s="51" customFormat="1" x14ac:dyDescent="0.25">
      <c r="A55" s="1"/>
      <c r="B55" s="25"/>
      <c r="C55" s="25"/>
      <c r="D55" s="25"/>
      <c r="E55" s="25"/>
      <c r="F55" s="25"/>
      <c r="G55" s="25"/>
      <c r="H55" s="25"/>
      <c r="I55" s="74"/>
      <c r="J55" s="1"/>
      <c r="K55" s="1"/>
      <c r="L55" s="1"/>
      <c r="M55" s="1"/>
      <c r="N55" s="1"/>
      <c r="O55" s="1"/>
      <c r="P55" s="1"/>
      <c r="Q55" s="1"/>
      <c r="R55" s="1"/>
    </row>
    <row r="56" spans="1:86" s="51" customFormat="1" x14ac:dyDescent="0.25">
      <c r="A56" s="1"/>
      <c r="B56" s="1" t="s">
        <v>27</v>
      </c>
      <c r="C56" s="26">
        <f>(R53*(1+$E$6))/($E$5-$E$6)</f>
        <v>5031.0544194161484</v>
      </c>
      <c r="D56" s="1"/>
      <c r="E56" s="1" t="s">
        <v>28</v>
      </c>
      <c r="F56" s="18">
        <f>NPV($E$5,I51:CH51)</f>
        <v>5843.8200285969924</v>
      </c>
      <c r="G56" s="1"/>
      <c r="H56" s="1"/>
      <c r="I56" s="15"/>
      <c r="J56" s="1"/>
      <c r="K56" s="1"/>
      <c r="L56" s="1"/>
      <c r="M56" s="1"/>
      <c r="N56" s="1"/>
      <c r="O56" s="1"/>
      <c r="P56" s="1"/>
      <c r="Q56" s="1"/>
      <c r="R56" s="2"/>
    </row>
    <row r="57" spans="1:86" s="51" customFormat="1" x14ac:dyDescent="0.25">
      <c r="A57" s="1"/>
      <c r="B57" s="3" t="s">
        <v>29</v>
      </c>
      <c r="C57" s="27">
        <f>C56/((1+$E$5)^$R$9)</f>
        <v>1758.9338716441853</v>
      </c>
      <c r="D57" s="16"/>
      <c r="E57" s="3"/>
      <c r="F57" s="3"/>
      <c r="G57" s="3"/>
      <c r="H57" s="16"/>
      <c r="I57" s="12"/>
      <c r="J57" s="1"/>
      <c r="K57" s="2"/>
      <c r="L57" s="85" t="s">
        <v>57</v>
      </c>
      <c r="M57" s="85"/>
      <c r="N57" s="85"/>
      <c r="O57" s="85"/>
      <c r="P57" s="85"/>
      <c r="Q57" s="85"/>
      <c r="R57" s="2"/>
    </row>
    <row r="58" spans="1:86" x14ac:dyDescent="0.25">
      <c r="A58" s="1"/>
      <c r="B58" s="6" t="s">
        <v>30</v>
      </c>
      <c r="C58" s="6"/>
      <c r="D58" s="1"/>
      <c r="E58" s="6"/>
      <c r="F58" s="6"/>
      <c r="G58" s="28" t="s">
        <v>31</v>
      </c>
      <c r="H58" s="28" t="s">
        <v>28</v>
      </c>
      <c r="I58" s="15"/>
      <c r="J58" s="1"/>
      <c r="K58" s="53"/>
      <c r="L58" s="58">
        <f>E64</f>
        <v>104.46387970343915</v>
      </c>
      <c r="M58" s="81">
        <v>-0.03</v>
      </c>
      <c r="N58" s="81">
        <v>-0.02</v>
      </c>
      <c r="O58" s="81">
        <v>-0.01</v>
      </c>
      <c r="P58" s="81">
        <v>0.01</v>
      </c>
      <c r="Q58" s="81">
        <v>0.02</v>
      </c>
    </row>
    <row r="59" spans="1:86" x14ac:dyDescent="0.25">
      <c r="A59" s="1"/>
      <c r="B59" s="29" t="s">
        <v>32</v>
      </c>
      <c r="C59" s="1"/>
      <c r="D59" s="23">
        <v>655.9</v>
      </c>
      <c r="E59" s="1"/>
      <c r="F59" s="1"/>
      <c r="G59" s="26">
        <f>C57+SUM(I54:R54)</f>
        <v>4479.5285752978525</v>
      </c>
      <c r="H59" s="18">
        <f>F56</f>
        <v>5843.8200285969924</v>
      </c>
      <c r="I59" s="15"/>
      <c r="K59" s="53"/>
      <c r="L59" s="55">
        <f>L60-0.5%</f>
        <v>9.5812991215835738E-2</v>
      </c>
      <c r="M59" s="59">
        <f t="dataTable" ref="M59:Q63" dt2D="1" dtr="1" r1="E6" r2="E5"/>
        <v>112.99519619923848</v>
      </c>
      <c r="N59" s="59">
        <v>117.6057803147861</v>
      </c>
      <c r="O59" s="59">
        <v>123.07970992504954</v>
      </c>
      <c r="P59" s="59">
        <v>137.77676750661959</v>
      </c>
      <c r="Q59" s="59">
        <v>147.92610379161994</v>
      </c>
    </row>
    <row r="60" spans="1:86" x14ac:dyDescent="0.25">
      <c r="A60" s="1"/>
      <c r="B60" s="30" t="s">
        <v>33</v>
      </c>
      <c r="C60" s="3"/>
      <c r="D60" s="83">
        <f>1775.5-701.5</f>
        <v>1074</v>
      </c>
      <c r="E60" s="3"/>
      <c r="F60" s="3"/>
      <c r="G60" s="3"/>
      <c r="H60" s="3"/>
      <c r="I60" s="15"/>
      <c r="K60" s="54"/>
      <c r="L60" s="55">
        <f>L61-1%</f>
        <v>0.10081299121583574</v>
      </c>
      <c r="M60" s="59">
        <v>107.39870982778588</v>
      </c>
      <c r="N60" s="60">
        <v>111.48061229042068</v>
      </c>
      <c r="O60" s="60">
        <v>116.29380209011936</v>
      </c>
      <c r="P60" s="60">
        <v>129.04847694816172</v>
      </c>
      <c r="Q60" s="59">
        <v>137.72282530197458</v>
      </c>
      <c r="R60" s="47"/>
    </row>
    <row r="61" spans="1:86" x14ac:dyDescent="0.25">
      <c r="A61" s="1"/>
      <c r="B61" s="6" t="s">
        <v>34</v>
      </c>
      <c r="C61" s="6"/>
      <c r="D61" s="6"/>
      <c r="E61" s="6"/>
      <c r="F61" s="6"/>
      <c r="G61" s="31">
        <f>G59+D59-D60</f>
        <v>4061.4285752978521</v>
      </c>
      <c r="H61" s="32">
        <f>H59+D59-D60</f>
        <v>5425.7200285969921</v>
      </c>
      <c r="I61" s="15"/>
      <c r="K61" s="53" t="s">
        <v>1</v>
      </c>
      <c r="L61" s="55">
        <v>0.11081299121583574</v>
      </c>
      <c r="M61" s="59">
        <v>97.471198697964695</v>
      </c>
      <c r="N61" s="60">
        <v>100.70139778380053</v>
      </c>
      <c r="O61" s="61">
        <v>104.46387970343915</v>
      </c>
      <c r="P61" s="60">
        <v>114.20509263290975</v>
      </c>
      <c r="Q61" s="59">
        <v>120.65374272948857</v>
      </c>
    </row>
    <row r="62" spans="1:86" x14ac:dyDescent="0.25">
      <c r="A62" s="1"/>
      <c r="B62" s="3" t="s">
        <v>35</v>
      </c>
      <c r="C62" s="3"/>
      <c r="D62" s="37">
        <f>45408751/1000000</f>
        <v>45.408751000000002</v>
      </c>
      <c r="E62" s="3"/>
      <c r="F62" s="3"/>
      <c r="G62" s="3"/>
      <c r="H62" s="33"/>
      <c r="I62" s="15"/>
      <c r="K62" s="53"/>
      <c r="L62" s="56">
        <f>L61+1%</f>
        <v>0.12081299121583573</v>
      </c>
      <c r="M62" s="59">
        <v>88.946353199980223</v>
      </c>
      <c r="N62" s="60">
        <v>91.531888050086394</v>
      </c>
      <c r="O62" s="60">
        <v>94.511595685995047</v>
      </c>
      <c r="P62" s="60">
        <v>102.07396543348763</v>
      </c>
      <c r="Q62" s="59">
        <v>106.96649664520282</v>
      </c>
    </row>
    <row r="63" spans="1:86" x14ac:dyDescent="0.25">
      <c r="A63" s="1"/>
      <c r="B63" s="17" t="s">
        <v>36</v>
      </c>
      <c r="C63" s="17"/>
      <c r="D63" s="62">
        <f>D62*$J$5</f>
        <v>3040.5699669599999</v>
      </c>
      <c r="E63" s="17"/>
      <c r="F63" s="17"/>
      <c r="G63" s="17"/>
      <c r="H63" s="34"/>
      <c r="I63" s="1"/>
      <c r="K63" s="53"/>
      <c r="L63" s="56">
        <f>L62+0.5%</f>
        <v>0.12581299121583572</v>
      </c>
      <c r="M63" s="59">
        <v>85.123763711938182</v>
      </c>
      <c r="N63" s="59">
        <v>87.445855480151337</v>
      </c>
      <c r="O63" s="59">
        <v>90.109132622623662</v>
      </c>
      <c r="P63" s="59">
        <v>96.808425236423943</v>
      </c>
      <c r="Q63" s="59">
        <v>101.09842759535101</v>
      </c>
    </row>
    <row r="64" spans="1:86" x14ac:dyDescent="0.25">
      <c r="A64" s="1"/>
      <c r="B64" s="6" t="s">
        <v>37</v>
      </c>
      <c r="D64" s="6" t="s">
        <v>38</v>
      </c>
      <c r="E64" s="35">
        <f>(G64+H64)/2</f>
        <v>104.46387970343915</v>
      </c>
      <c r="F64" s="6"/>
      <c r="G64" s="35">
        <f>G61/D62</f>
        <v>89.441539039421102</v>
      </c>
      <c r="H64" s="36">
        <f>H61/D62</f>
        <v>119.48622036745718</v>
      </c>
      <c r="I64" s="15"/>
    </row>
    <row r="65" spans="2:9" x14ac:dyDescent="0.25">
      <c r="B65" s="40"/>
      <c r="C65" s="40"/>
      <c r="D65" s="40"/>
      <c r="E65" s="40"/>
      <c r="F65" s="40"/>
      <c r="G65" s="40"/>
      <c r="H65" s="40"/>
      <c r="I65" s="22"/>
    </row>
  </sheetData>
  <sortState xmlns:xlrd2="http://schemas.microsoft.com/office/spreadsheetml/2017/richdata2" columnSort="1" ref="C10:H54">
    <sortCondition ref="C10:H10"/>
  </sortState>
  <mergeCells count="1">
    <mergeCell ref="L57:Q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02C1-E9E6-434A-8083-644F8C7C2221}">
  <dimension ref="A1:J29"/>
  <sheetViews>
    <sheetView topLeftCell="A13" workbookViewId="0">
      <selection activeCell="J28" sqref="J28"/>
    </sheetView>
  </sheetViews>
  <sheetFormatPr defaultRowHeight="15" x14ac:dyDescent="0.25"/>
  <cols>
    <col min="1" max="1" width="40.28515625" customWidth="1"/>
    <col min="2" max="4" width="11" customWidth="1"/>
    <col min="7" max="7" width="27.28515625" customWidth="1"/>
    <col min="8" max="10" width="12.140625" customWidth="1"/>
  </cols>
  <sheetData>
    <row r="1" spans="1:10" x14ac:dyDescent="0.25">
      <c r="A1" s="65" t="s">
        <v>51</v>
      </c>
      <c r="B1" s="66"/>
      <c r="C1" s="66"/>
      <c r="D1" s="66"/>
      <c r="G1" s="65" t="s">
        <v>51</v>
      </c>
      <c r="H1" s="66"/>
      <c r="I1" s="66"/>
      <c r="J1" s="66"/>
    </row>
    <row r="2" spans="1:10" x14ac:dyDescent="0.25">
      <c r="A2" s="66"/>
      <c r="B2" s="66"/>
      <c r="C2" s="66"/>
      <c r="D2" s="66"/>
      <c r="G2" s="65" t="s">
        <v>64</v>
      </c>
      <c r="H2" s="65">
        <v>2017</v>
      </c>
      <c r="I2" s="65">
        <v>2018</v>
      </c>
      <c r="J2" s="65">
        <v>2019</v>
      </c>
    </row>
    <row r="3" spans="1:10" x14ac:dyDescent="0.25">
      <c r="A3" s="65" t="s">
        <v>64</v>
      </c>
      <c r="B3" s="65">
        <v>2020</v>
      </c>
      <c r="C3" s="65">
        <v>2021</v>
      </c>
      <c r="D3" s="65">
        <v>2022</v>
      </c>
      <c r="G3" s="65" t="s">
        <v>65</v>
      </c>
      <c r="H3" s="67">
        <v>6253</v>
      </c>
      <c r="I3" s="67">
        <v>6247.1</v>
      </c>
      <c r="J3" s="67">
        <v>6137.1</v>
      </c>
    </row>
    <row r="4" spans="1:10" x14ac:dyDescent="0.25">
      <c r="A4" s="65" t="s">
        <v>65</v>
      </c>
      <c r="B4" s="67">
        <v>5226.8999999999996</v>
      </c>
      <c r="C4" s="67">
        <v>7826</v>
      </c>
      <c r="D4" s="67">
        <v>7842.1</v>
      </c>
      <c r="G4" s="65" t="s">
        <v>58</v>
      </c>
      <c r="H4" s="68">
        <v>-4063</v>
      </c>
      <c r="I4" s="68">
        <v>-4024.1</v>
      </c>
      <c r="J4" s="68">
        <v>-3904.2</v>
      </c>
    </row>
    <row r="5" spans="1:10" x14ac:dyDescent="0.25">
      <c r="A5" s="65" t="s">
        <v>58</v>
      </c>
      <c r="B5" s="68">
        <v>-3493</v>
      </c>
      <c r="C5" s="68">
        <v>-4702</v>
      </c>
      <c r="D5" s="68">
        <v>-4790</v>
      </c>
      <c r="G5" s="65" t="s">
        <v>66</v>
      </c>
      <c r="H5" s="86">
        <v>0</v>
      </c>
      <c r="I5" s="68">
        <v>-62.2</v>
      </c>
      <c r="J5" s="68">
        <v>-9.1999999999999993</v>
      </c>
    </row>
    <row r="6" spans="1:10" x14ac:dyDescent="0.25">
      <c r="A6" s="65" t="s">
        <v>66</v>
      </c>
      <c r="B6" s="68">
        <v>-1.4</v>
      </c>
      <c r="C6" s="86">
        <v>0</v>
      </c>
      <c r="D6" s="86">
        <v>0</v>
      </c>
      <c r="G6" s="65" t="s">
        <v>67</v>
      </c>
      <c r="H6" s="68">
        <v>2190</v>
      </c>
      <c r="I6" s="68">
        <v>2160.8000000000002</v>
      </c>
      <c r="J6" s="68">
        <v>2223.6999999999998</v>
      </c>
    </row>
    <row r="7" spans="1:10" x14ac:dyDescent="0.25">
      <c r="A7" s="65" t="s">
        <v>67</v>
      </c>
      <c r="B7" s="68">
        <v>1732.5</v>
      </c>
      <c r="C7" s="68">
        <v>3124</v>
      </c>
      <c r="D7" s="68">
        <v>3052.1</v>
      </c>
      <c r="G7" s="65" t="s">
        <v>62</v>
      </c>
      <c r="H7" s="68">
        <v>-1872.2</v>
      </c>
      <c r="I7" s="68">
        <v>-1985.1</v>
      </c>
      <c r="J7" s="68">
        <v>-1918.2</v>
      </c>
    </row>
    <row r="8" spans="1:10" x14ac:dyDescent="0.25">
      <c r="A8" s="65" t="s">
        <v>62</v>
      </c>
      <c r="B8" s="68">
        <v>-1587.4</v>
      </c>
      <c r="C8" s="68">
        <v>-2230.9</v>
      </c>
      <c r="D8" s="68">
        <v>-2214.6</v>
      </c>
      <c r="G8" s="65" t="s">
        <v>123</v>
      </c>
      <c r="H8" s="68">
        <v>1.3</v>
      </c>
      <c r="I8" s="68">
        <v>-167.4</v>
      </c>
      <c r="J8" s="86">
        <v>0</v>
      </c>
    </row>
    <row r="9" spans="1:10" x14ac:dyDescent="0.25">
      <c r="A9" s="66"/>
      <c r="B9" s="66"/>
      <c r="C9" s="66"/>
      <c r="D9" s="66"/>
      <c r="G9" s="65" t="s">
        <v>68</v>
      </c>
      <c r="H9" s="86">
        <v>0</v>
      </c>
      <c r="I9" s="68">
        <v>-63.7</v>
      </c>
      <c r="J9" s="68">
        <v>-69.900000000000006</v>
      </c>
    </row>
    <row r="10" spans="1:10" x14ac:dyDescent="0.25">
      <c r="A10" s="65" t="s">
        <v>68</v>
      </c>
      <c r="B10" s="68">
        <v>-46.2</v>
      </c>
      <c r="C10" s="68">
        <v>3.3</v>
      </c>
      <c r="D10" s="86">
        <v>0</v>
      </c>
      <c r="G10" s="65" t="s">
        <v>124</v>
      </c>
      <c r="H10" s="86">
        <v>0</v>
      </c>
      <c r="I10" s="68">
        <v>-735.4</v>
      </c>
      <c r="J10" s="68">
        <v>-47.7</v>
      </c>
    </row>
    <row r="11" spans="1:10" x14ac:dyDescent="0.25">
      <c r="A11" s="65" t="s">
        <v>69</v>
      </c>
      <c r="B11" s="68">
        <v>-159</v>
      </c>
      <c r="C11" s="68">
        <v>-1.5</v>
      </c>
      <c r="D11" s="68">
        <v>-22.7</v>
      </c>
      <c r="G11" s="65" t="s">
        <v>125</v>
      </c>
      <c r="H11" s="68">
        <v>260.8</v>
      </c>
      <c r="I11" s="68">
        <v>26.2</v>
      </c>
      <c r="J11" s="68">
        <v>-29.6</v>
      </c>
    </row>
    <row r="12" spans="1:10" x14ac:dyDescent="0.25">
      <c r="A12" s="65" t="s">
        <v>70</v>
      </c>
      <c r="B12" s="68">
        <v>2.4</v>
      </c>
      <c r="C12" s="68">
        <v>8.5</v>
      </c>
      <c r="D12" s="68">
        <v>-209.9</v>
      </c>
      <c r="G12" s="65" t="s">
        <v>71</v>
      </c>
      <c r="H12" s="68">
        <v>579.9</v>
      </c>
      <c r="I12" s="68">
        <v>-764.6</v>
      </c>
      <c r="J12" s="68">
        <v>158.30000000000001</v>
      </c>
    </row>
    <row r="13" spans="1:10" x14ac:dyDescent="0.25">
      <c r="A13" s="65" t="s">
        <v>71</v>
      </c>
      <c r="B13" s="68">
        <v>-57.7</v>
      </c>
      <c r="C13" s="68">
        <v>903.4</v>
      </c>
      <c r="D13" s="68">
        <v>604.9</v>
      </c>
      <c r="G13" s="65" t="s">
        <v>72</v>
      </c>
      <c r="H13" s="68">
        <v>-52.7</v>
      </c>
      <c r="I13" s="68">
        <v>-39.700000000000003</v>
      </c>
      <c r="J13" s="68">
        <v>-35.6</v>
      </c>
    </row>
    <row r="14" spans="1:10" x14ac:dyDescent="0.25">
      <c r="A14" s="65" t="s">
        <v>72</v>
      </c>
      <c r="B14" s="68">
        <v>-32</v>
      </c>
      <c r="C14" s="68">
        <v>-16.899999999999999</v>
      </c>
      <c r="D14" s="68">
        <v>-13.5</v>
      </c>
      <c r="G14" s="65" t="s">
        <v>126</v>
      </c>
      <c r="H14" s="86">
        <v>0</v>
      </c>
      <c r="I14" s="68">
        <v>1.7</v>
      </c>
      <c r="J14" s="68">
        <v>7</v>
      </c>
    </row>
    <row r="15" spans="1:10" x14ac:dyDescent="0.25">
      <c r="A15" s="65" t="s">
        <v>73</v>
      </c>
      <c r="B15" s="86">
        <v>0</v>
      </c>
      <c r="C15" s="68">
        <v>-2.1</v>
      </c>
      <c r="D15" s="68">
        <v>-140.19999999999999</v>
      </c>
      <c r="G15" s="65" t="s">
        <v>74</v>
      </c>
      <c r="H15" s="68">
        <v>527.20000000000005</v>
      </c>
      <c r="I15" s="68">
        <v>-802.6</v>
      </c>
      <c r="J15" s="68">
        <v>129.69999999999999</v>
      </c>
    </row>
    <row r="16" spans="1:10" x14ac:dyDescent="0.25">
      <c r="A16" s="65" t="s">
        <v>74</v>
      </c>
      <c r="B16" s="68">
        <v>-89.7</v>
      </c>
      <c r="C16" s="68">
        <v>884.4</v>
      </c>
      <c r="D16" s="68">
        <v>451.2</v>
      </c>
      <c r="G16" s="65" t="s">
        <v>75</v>
      </c>
      <c r="H16" s="68">
        <v>-7.9</v>
      </c>
      <c r="I16" s="68">
        <v>145.19999999999999</v>
      </c>
      <c r="J16" s="68">
        <v>-24.2</v>
      </c>
    </row>
    <row r="17" spans="1:10" x14ac:dyDescent="0.25">
      <c r="A17" s="65" t="s">
        <v>75</v>
      </c>
      <c r="B17" s="68">
        <v>74.5</v>
      </c>
      <c r="C17" s="68">
        <v>-114.5</v>
      </c>
      <c r="D17" s="68">
        <v>-74.5</v>
      </c>
      <c r="G17" s="65" t="s">
        <v>53</v>
      </c>
      <c r="H17" s="68">
        <v>519.29999999999995</v>
      </c>
      <c r="I17" s="68">
        <v>-657.4</v>
      </c>
      <c r="J17" s="68">
        <v>105.5</v>
      </c>
    </row>
    <row r="18" spans="1:10" x14ac:dyDescent="0.25">
      <c r="A18" s="65" t="s">
        <v>53</v>
      </c>
      <c r="B18" s="68">
        <v>-15.2</v>
      </c>
      <c r="C18" s="68">
        <v>769.9</v>
      </c>
      <c r="D18" s="68">
        <v>376.7</v>
      </c>
      <c r="G18" s="65" t="s">
        <v>76</v>
      </c>
      <c r="H18" s="68">
        <v>-32.9</v>
      </c>
      <c r="I18" s="68">
        <v>-32.9</v>
      </c>
      <c r="J18" s="68">
        <v>-32.9</v>
      </c>
    </row>
    <row r="19" spans="1:10" ht="30" customHeight="1" x14ac:dyDescent="0.25">
      <c r="A19" s="65" t="s">
        <v>76</v>
      </c>
      <c r="B19" s="68">
        <v>-33.5</v>
      </c>
      <c r="C19" s="68">
        <v>-34.5</v>
      </c>
      <c r="D19" s="68">
        <v>-34.5</v>
      </c>
      <c r="G19" s="65" t="s">
        <v>127</v>
      </c>
      <c r="H19" s="67">
        <v>486.4</v>
      </c>
      <c r="I19" s="67">
        <v>-690.3</v>
      </c>
      <c r="J19" s="68">
        <v>72.599999999999994</v>
      </c>
    </row>
    <row r="20" spans="1:10" x14ac:dyDescent="0.25">
      <c r="A20" s="65" t="s">
        <v>77</v>
      </c>
      <c r="B20" s="67">
        <v>-48.7</v>
      </c>
      <c r="C20" s="67">
        <v>735.4</v>
      </c>
      <c r="D20" s="67">
        <v>342.2</v>
      </c>
      <c r="G20" s="66"/>
      <c r="H20" s="66"/>
      <c r="I20" s="66"/>
      <c r="J20" s="66"/>
    </row>
    <row r="21" spans="1:10" x14ac:dyDescent="0.25">
      <c r="A21" s="66"/>
      <c r="B21" s="66"/>
      <c r="C21" s="66"/>
      <c r="D21" s="66"/>
      <c r="G21" s="65" t="s">
        <v>78</v>
      </c>
      <c r="H21" s="66"/>
      <c r="I21" s="66"/>
      <c r="J21" s="66"/>
    </row>
    <row r="22" spans="1:10" x14ac:dyDescent="0.25">
      <c r="A22" s="65" t="s">
        <v>78</v>
      </c>
      <c r="B22" s="66"/>
      <c r="C22" s="66"/>
      <c r="D22" s="66"/>
      <c r="G22" s="65" t="s">
        <v>79</v>
      </c>
      <c r="H22" s="67">
        <v>7.72</v>
      </c>
      <c r="I22" s="67">
        <v>-12.62</v>
      </c>
      <c r="J22" s="67">
        <v>1.4</v>
      </c>
    </row>
    <row r="23" spans="1:10" x14ac:dyDescent="0.25">
      <c r="A23" s="65" t="s">
        <v>79</v>
      </c>
      <c r="B23" s="67">
        <v>-0.94</v>
      </c>
      <c r="C23" s="67">
        <v>14.01</v>
      </c>
      <c r="D23" s="67">
        <v>7.34</v>
      </c>
      <c r="G23" s="65" t="s">
        <v>80</v>
      </c>
      <c r="H23" s="67">
        <v>7.44</v>
      </c>
      <c r="I23" s="67">
        <v>-12.62</v>
      </c>
      <c r="J23" s="67">
        <v>1.4</v>
      </c>
    </row>
    <row r="24" spans="1:10" x14ac:dyDescent="0.25">
      <c r="A24" s="65" t="s">
        <v>80</v>
      </c>
      <c r="B24" s="67">
        <v>-0.94</v>
      </c>
      <c r="C24" s="67">
        <v>12.22</v>
      </c>
      <c r="D24" s="67">
        <v>6.64</v>
      </c>
      <c r="G24" s="65" t="s">
        <v>81</v>
      </c>
      <c r="H24" s="66"/>
      <c r="I24" s="66"/>
      <c r="J24" s="66"/>
    </row>
    <row r="25" spans="1:10" x14ac:dyDescent="0.25">
      <c r="A25" s="65" t="s">
        <v>81</v>
      </c>
      <c r="B25" s="66"/>
      <c r="C25" s="66"/>
      <c r="D25" s="66"/>
      <c r="G25" s="65" t="s">
        <v>79</v>
      </c>
      <c r="H25" s="68">
        <v>63</v>
      </c>
      <c r="I25" s="68">
        <v>54.7</v>
      </c>
      <c r="J25" s="68">
        <v>51.7</v>
      </c>
    </row>
    <row r="26" spans="1:10" x14ac:dyDescent="0.25">
      <c r="A26" s="65" t="s">
        <v>79</v>
      </c>
      <c r="B26" s="68">
        <v>52</v>
      </c>
      <c r="C26" s="68">
        <v>52.5</v>
      </c>
      <c r="D26" s="68">
        <v>46.6</v>
      </c>
      <c r="G26" s="65" t="s">
        <v>80</v>
      </c>
      <c r="H26" s="68">
        <v>69.8</v>
      </c>
      <c r="I26" s="68">
        <v>54.7</v>
      </c>
      <c r="J26" s="68">
        <v>51.8</v>
      </c>
    </row>
    <row r="27" spans="1:10" x14ac:dyDescent="0.25">
      <c r="A27" s="65" t="s">
        <v>80</v>
      </c>
      <c r="B27" s="68">
        <v>52</v>
      </c>
      <c r="C27" s="68">
        <v>63</v>
      </c>
      <c r="D27" s="68">
        <v>56.7</v>
      </c>
    </row>
    <row r="29" spans="1:10" x14ac:dyDescent="0.25">
      <c r="H29">
        <f>H17/H26</f>
        <v>7.4398280802292263</v>
      </c>
      <c r="I29" s="87">
        <f>H19/H26</f>
        <v>6.9684813753581665</v>
      </c>
    </row>
  </sheetData>
  <sortState xmlns:xlrd2="http://schemas.microsoft.com/office/spreadsheetml/2017/richdata2" columnSort="1" ref="H2:J26">
    <sortCondition ref="H2:J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9D905-C625-4CD5-A14F-584F213FA860}">
  <dimension ref="A1:K55"/>
  <sheetViews>
    <sheetView topLeftCell="A20" workbookViewId="0">
      <selection activeCell="H32" sqref="H32"/>
    </sheetView>
  </sheetViews>
  <sheetFormatPr defaultRowHeight="15" x14ac:dyDescent="0.25"/>
  <cols>
    <col min="1" max="1" width="47.42578125" customWidth="1"/>
    <col min="8" max="8" width="58" customWidth="1"/>
  </cols>
  <sheetData>
    <row r="1" spans="1:11" x14ac:dyDescent="0.25">
      <c r="A1" s="65" t="s">
        <v>54</v>
      </c>
      <c r="B1" s="66"/>
      <c r="C1" s="66"/>
      <c r="D1" s="66"/>
      <c r="H1" s="65" t="s">
        <v>54</v>
      </c>
      <c r="I1" s="66"/>
      <c r="J1" s="66"/>
      <c r="K1" s="66"/>
    </row>
    <row r="2" spans="1:11" x14ac:dyDescent="0.25">
      <c r="A2" s="66"/>
      <c r="B2" s="66"/>
      <c r="C2" s="66"/>
      <c r="D2" s="66"/>
      <c r="H2" s="65" t="s">
        <v>82</v>
      </c>
      <c r="I2" s="65">
        <v>2017</v>
      </c>
      <c r="J2" s="65">
        <v>2018</v>
      </c>
      <c r="K2" s="65">
        <v>2019</v>
      </c>
    </row>
    <row r="3" spans="1:11" x14ac:dyDescent="0.25">
      <c r="A3" s="65" t="s">
        <v>82</v>
      </c>
      <c r="B3" s="65">
        <v>2020</v>
      </c>
      <c r="C3" s="65">
        <v>2021</v>
      </c>
      <c r="D3" s="65">
        <v>2022</v>
      </c>
      <c r="H3" s="65" t="s">
        <v>128</v>
      </c>
      <c r="I3" s="66"/>
      <c r="J3" s="66"/>
      <c r="K3" s="66"/>
    </row>
    <row r="4" spans="1:11" x14ac:dyDescent="0.25">
      <c r="A4" s="65" t="s">
        <v>83</v>
      </c>
      <c r="B4" s="66"/>
      <c r="C4" s="66"/>
      <c r="D4" s="66"/>
      <c r="H4" s="65" t="s">
        <v>53</v>
      </c>
      <c r="I4" s="67">
        <v>519.29999999999995</v>
      </c>
      <c r="J4" s="67">
        <v>-657.4</v>
      </c>
      <c r="K4" s="67">
        <v>105.5</v>
      </c>
    </row>
    <row r="5" spans="1:11" x14ac:dyDescent="0.25">
      <c r="A5" s="65" t="s">
        <v>53</v>
      </c>
      <c r="B5" s="67">
        <v>-15.2</v>
      </c>
      <c r="C5" s="67">
        <v>769.9</v>
      </c>
      <c r="D5" s="67">
        <v>376.7</v>
      </c>
      <c r="H5" s="65" t="s">
        <v>129</v>
      </c>
      <c r="I5" s="66"/>
      <c r="J5" s="66"/>
      <c r="K5" s="66"/>
    </row>
    <row r="6" spans="1:11" x14ac:dyDescent="0.25">
      <c r="A6" s="65" t="s">
        <v>84</v>
      </c>
      <c r="B6" s="66"/>
      <c r="C6" s="66"/>
      <c r="D6" s="66"/>
      <c r="H6" s="65" t="s">
        <v>130</v>
      </c>
      <c r="I6" s="66"/>
      <c r="J6" s="66"/>
      <c r="K6" s="66"/>
    </row>
    <row r="7" spans="1:11" x14ac:dyDescent="0.25">
      <c r="A7" s="65" t="s">
        <v>85</v>
      </c>
      <c r="B7" s="66"/>
      <c r="C7" s="66"/>
      <c r="D7" s="66"/>
      <c r="H7" s="65" t="s">
        <v>52</v>
      </c>
      <c r="I7" s="68">
        <v>203.4</v>
      </c>
      <c r="J7" s="68">
        <v>183.6</v>
      </c>
      <c r="K7" s="68">
        <v>178</v>
      </c>
    </row>
    <row r="8" spans="1:11" x14ac:dyDescent="0.25">
      <c r="A8" s="65" t="s">
        <v>52</v>
      </c>
      <c r="B8" s="68">
        <v>176</v>
      </c>
      <c r="C8" s="68">
        <v>163.5</v>
      </c>
      <c r="D8" s="68">
        <v>164.5</v>
      </c>
      <c r="H8" s="65" t="s">
        <v>131</v>
      </c>
      <c r="I8" s="68">
        <v>-13</v>
      </c>
      <c r="J8" s="68">
        <v>-7.9</v>
      </c>
      <c r="K8" s="68">
        <v>-5.5</v>
      </c>
    </row>
    <row r="9" spans="1:11" x14ac:dyDescent="0.25">
      <c r="A9" s="65" t="s">
        <v>86</v>
      </c>
      <c r="B9" s="68">
        <v>-5.4</v>
      </c>
      <c r="C9" s="68">
        <v>-3.3</v>
      </c>
      <c r="D9" s="68">
        <v>-1.8</v>
      </c>
      <c r="H9" s="65" t="s">
        <v>87</v>
      </c>
      <c r="I9" s="68">
        <v>16.100000000000001</v>
      </c>
      <c r="J9" s="68">
        <v>16.5</v>
      </c>
      <c r="K9" s="68">
        <v>16.899999999999999</v>
      </c>
    </row>
    <row r="10" spans="1:11" x14ac:dyDescent="0.25">
      <c r="A10" s="65" t="s">
        <v>87</v>
      </c>
      <c r="B10" s="68">
        <v>14.5</v>
      </c>
      <c r="C10" s="68">
        <v>45.8</v>
      </c>
      <c r="D10" s="68">
        <v>42</v>
      </c>
      <c r="H10" s="65" t="s">
        <v>88</v>
      </c>
      <c r="I10" s="68">
        <v>-33.4</v>
      </c>
      <c r="J10" s="68">
        <v>-105.6</v>
      </c>
      <c r="K10" s="68">
        <v>21.5</v>
      </c>
    </row>
    <row r="11" spans="1:11" x14ac:dyDescent="0.25">
      <c r="A11" s="65" t="s">
        <v>88</v>
      </c>
      <c r="B11" s="68">
        <v>141.80000000000001</v>
      </c>
      <c r="C11" s="68">
        <v>0.1</v>
      </c>
      <c r="D11" s="68">
        <v>-99.3</v>
      </c>
      <c r="H11" s="65" t="s">
        <v>123</v>
      </c>
      <c r="I11" s="68">
        <v>-30.9</v>
      </c>
      <c r="J11" s="68">
        <v>160.4</v>
      </c>
      <c r="K11" s="86">
        <v>0</v>
      </c>
    </row>
    <row r="12" spans="1:11" x14ac:dyDescent="0.25">
      <c r="A12" s="66"/>
      <c r="B12" s="66"/>
      <c r="C12" s="66"/>
      <c r="D12" s="66"/>
      <c r="H12" s="65" t="s">
        <v>124</v>
      </c>
      <c r="I12" s="86">
        <v>0</v>
      </c>
      <c r="J12" s="68">
        <v>735.4</v>
      </c>
      <c r="K12" s="68">
        <v>47.7</v>
      </c>
    </row>
    <row r="13" spans="1:11" x14ac:dyDescent="0.25">
      <c r="A13" s="65" t="s">
        <v>89</v>
      </c>
      <c r="B13" s="68">
        <v>159</v>
      </c>
      <c r="C13" s="68">
        <v>1.5</v>
      </c>
      <c r="D13" s="68">
        <v>22.7</v>
      </c>
      <c r="H13" s="65" t="s">
        <v>68</v>
      </c>
      <c r="I13" s="86">
        <v>0</v>
      </c>
      <c r="J13" s="68">
        <v>84.9</v>
      </c>
      <c r="K13" s="68">
        <v>25.9</v>
      </c>
    </row>
    <row r="14" spans="1:11" x14ac:dyDescent="0.25">
      <c r="A14" s="65" t="s">
        <v>68</v>
      </c>
      <c r="B14" s="68">
        <v>14.7</v>
      </c>
      <c r="C14" s="86">
        <v>0</v>
      </c>
      <c r="D14" s="86">
        <v>0</v>
      </c>
      <c r="H14" s="65" t="s">
        <v>132</v>
      </c>
      <c r="I14" s="86">
        <v>0</v>
      </c>
      <c r="J14" s="86">
        <v>0</v>
      </c>
      <c r="K14" s="68">
        <v>-6.2</v>
      </c>
    </row>
    <row r="15" spans="1:11" x14ac:dyDescent="0.25">
      <c r="A15" s="65" t="s">
        <v>90</v>
      </c>
      <c r="B15" s="68">
        <v>0.4</v>
      </c>
      <c r="C15" s="86">
        <v>0</v>
      </c>
      <c r="D15" s="86">
        <v>0</v>
      </c>
      <c r="H15" s="65" t="s">
        <v>92</v>
      </c>
      <c r="I15" s="68">
        <v>2.6</v>
      </c>
      <c r="J15" s="68">
        <v>-3.4</v>
      </c>
      <c r="K15" s="68">
        <v>-4.3</v>
      </c>
    </row>
    <row r="16" spans="1:11" x14ac:dyDescent="0.25">
      <c r="A16" s="65" t="s">
        <v>91</v>
      </c>
      <c r="B16" s="86">
        <v>0</v>
      </c>
      <c r="C16" s="86">
        <v>0</v>
      </c>
      <c r="D16" s="68">
        <v>133.69999999999999</v>
      </c>
      <c r="H16" s="65" t="s">
        <v>59</v>
      </c>
      <c r="I16" s="66"/>
      <c r="J16" s="66"/>
      <c r="K16" s="66"/>
    </row>
    <row r="17" spans="1:11" x14ac:dyDescent="0.25">
      <c r="A17" s="65" t="s">
        <v>92</v>
      </c>
      <c r="B17" s="68">
        <v>0.3</v>
      </c>
      <c r="C17" s="68">
        <v>4.8</v>
      </c>
      <c r="D17" s="68">
        <v>7.2</v>
      </c>
      <c r="H17" s="65" t="s">
        <v>94</v>
      </c>
      <c r="I17" s="68">
        <v>242.1</v>
      </c>
      <c r="J17" s="68">
        <v>45.7</v>
      </c>
      <c r="K17" s="68">
        <v>-15.2</v>
      </c>
    </row>
    <row r="18" spans="1:11" x14ac:dyDescent="0.25">
      <c r="A18" s="65" t="s">
        <v>93</v>
      </c>
      <c r="B18" s="66"/>
      <c r="C18" s="66"/>
      <c r="D18" s="66"/>
      <c r="H18" s="65" t="s">
        <v>95</v>
      </c>
      <c r="I18" s="68">
        <v>952.5</v>
      </c>
      <c r="J18" s="68">
        <v>445.5</v>
      </c>
      <c r="K18" s="86">
        <v>0</v>
      </c>
    </row>
    <row r="19" spans="1:11" x14ac:dyDescent="0.25">
      <c r="A19" s="65" t="s">
        <v>94</v>
      </c>
      <c r="B19" s="68">
        <v>-50.1</v>
      </c>
      <c r="C19" s="68">
        <v>12.4</v>
      </c>
      <c r="D19" s="68">
        <v>5.5</v>
      </c>
      <c r="H19" s="65" t="s">
        <v>96</v>
      </c>
      <c r="I19" s="68">
        <v>-6</v>
      </c>
      <c r="J19" s="68">
        <v>0.7</v>
      </c>
      <c r="K19" s="68">
        <v>-184.2</v>
      </c>
    </row>
    <row r="20" spans="1:11" x14ac:dyDescent="0.25">
      <c r="A20" s="65" t="s">
        <v>95</v>
      </c>
      <c r="B20" s="86">
        <v>0</v>
      </c>
      <c r="C20" s="68">
        <v>81.3</v>
      </c>
      <c r="D20" s="86">
        <v>0</v>
      </c>
      <c r="H20" s="65" t="s">
        <v>133</v>
      </c>
      <c r="I20" s="68">
        <v>210.9</v>
      </c>
      <c r="J20" s="68">
        <v>-194.3</v>
      </c>
      <c r="K20" s="68">
        <v>48.8</v>
      </c>
    </row>
    <row r="21" spans="1:11" x14ac:dyDescent="0.25">
      <c r="A21" s="65" t="s">
        <v>96</v>
      </c>
      <c r="B21" s="68">
        <v>181.9</v>
      </c>
      <c r="C21" s="68">
        <v>-39.9</v>
      </c>
      <c r="D21" s="68">
        <v>10.6</v>
      </c>
      <c r="H21" s="65" t="s">
        <v>134</v>
      </c>
      <c r="I21" s="68">
        <v>-51.4</v>
      </c>
      <c r="J21" s="68">
        <v>-78.5</v>
      </c>
      <c r="K21" s="68">
        <v>77.2</v>
      </c>
    </row>
    <row r="22" spans="1:11" x14ac:dyDescent="0.25">
      <c r="A22" s="65" t="s">
        <v>97</v>
      </c>
      <c r="B22" s="68">
        <v>308</v>
      </c>
      <c r="C22" s="68">
        <v>198.3</v>
      </c>
      <c r="D22" s="68">
        <v>-16.5</v>
      </c>
      <c r="H22" s="65" t="s">
        <v>135</v>
      </c>
      <c r="I22" s="66"/>
      <c r="J22" s="66"/>
      <c r="K22" s="66"/>
    </row>
    <row r="23" spans="1:11" x14ac:dyDescent="0.25">
      <c r="A23" s="65" t="s">
        <v>98</v>
      </c>
      <c r="B23" s="68">
        <v>577.79999999999995</v>
      </c>
      <c r="C23" s="68">
        <v>35.700000000000003</v>
      </c>
      <c r="D23" s="68">
        <v>-101.6</v>
      </c>
      <c r="H23" s="65" t="s">
        <v>136</v>
      </c>
      <c r="I23" s="68">
        <v>3.9</v>
      </c>
      <c r="J23" s="68">
        <v>55.9</v>
      </c>
      <c r="K23" s="68">
        <v>232.9</v>
      </c>
    </row>
    <row r="24" spans="1:11" x14ac:dyDescent="0.25">
      <c r="A24" s="65" t="s">
        <v>99</v>
      </c>
      <c r="B24" s="68">
        <v>-185.8</v>
      </c>
      <c r="C24" s="68">
        <v>-30.1</v>
      </c>
      <c r="D24" s="68">
        <v>120</v>
      </c>
      <c r="H24" s="65" t="s">
        <v>100</v>
      </c>
      <c r="I24" s="86">
        <v>0</v>
      </c>
      <c r="J24" s="86">
        <v>0</v>
      </c>
      <c r="K24" s="68">
        <v>-9.4</v>
      </c>
    </row>
    <row r="25" spans="1:11" x14ac:dyDescent="0.25">
      <c r="A25" s="65" t="s">
        <v>100</v>
      </c>
      <c r="B25" s="68">
        <v>31.2</v>
      </c>
      <c r="C25" s="68">
        <v>-64.099999999999994</v>
      </c>
      <c r="D25" s="68">
        <v>18.2</v>
      </c>
      <c r="H25" s="65" t="s">
        <v>101</v>
      </c>
      <c r="I25" s="68">
        <v>10</v>
      </c>
      <c r="J25" s="68">
        <v>9.6999999999999993</v>
      </c>
      <c r="K25" s="68">
        <v>30.8</v>
      </c>
    </row>
    <row r="26" spans="1:11" x14ac:dyDescent="0.25">
      <c r="A26" s="65" t="s">
        <v>101</v>
      </c>
      <c r="B26" s="68">
        <v>73.099999999999994</v>
      </c>
      <c r="C26" s="68">
        <v>100.5</v>
      </c>
      <c r="D26" s="68">
        <v>27.9</v>
      </c>
      <c r="H26" s="65" t="s">
        <v>137</v>
      </c>
      <c r="I26" s="68">
        <v>-82.4</v>
      </c>
      <c r="J26" s="68">
        <v>10.9</v>
      </c>
      <c r="K26" s="68">
        <v>0.6</v>
      </c>
    </row>
    <row r="27" spans="1:11" x14ac:dyDescent="0.25">
      <c r="A27" s="65" t="s">
        <v>102</v>
      </c>
      <c r="B27" s="68">
        <v>-45.5</v>
      </c>
      <c r="C27" s="68">
        <v>-6.7</v>
      </c>
      <c r="D27" s="68">
        <v>98.5</v>
      </c>
      <c r="H27" s="65" t="s">
        <v>103</v>
      </c>
      <c r="I27" s="68">
        <v>-3.2</v>
      </c>
      <c r="J27" s="68">
        <v>-4.4000000000000004</v>
      </c>
      <c r="K27" s="68">
        <v>-5.3</v>
      </c>
    </row>
    <row r="28" spans="1:11" x14ac:dyDescent="0.25">
      <c r="A28" s="65" t="s">
        <v>103</v>
      </c>
      <c r="B28" s="68">
        <v>-4.4000000000000004</v>
      </c>
      <c r="C28" s="68">
        <v>-12.4</v>
      </c>
      <c r="D28" s="68">
        <v>-10.4</v>
      </c>
      <c r="H28" s="65" t="s">
        <v>104</v>
      </c>
      <c r="I28" s="68">
        <v>1940.5</v>
      </c>
      <c r="J28" s="68">
        <v>697.7</v>
      </c>
      <c r="K28" s="68">
        <v>555.70000000000005</v>
      </c>
    </row>
    <row r="29" spans="1:11" x14ac:dyDescent="0.25">
      <c r="A29" s="65" t="s">
        <v>104</v>
      </c>
      <c r="B29" s="68">
        <v>1372.3</v>
      </c>
      <c r="C29" s="68">
        <v>1257.3</v>
      </c>
      <c r="D29" s="68">
        <v>797.9</v>
      </c>
      <c r="H29" s="65" t="s">
        <v>105</v>
      </c>
      <c r="I29" s="66"/>
      <c r="J29" s="66"/>
      <c r="K29" s="66"/>
    </row>
    <row r="30" spans="1:11" x14ac:dyDescent="0.25">
      <c r="A30" s="65" t="s">
        <v>105</v>
      </c>
      <c r="B30" s="66"/>
      <c r="C30" s="66"/>
      <c r="D30" s="66"/>
      <c r="H30" s="65" t="s">
        <v>106</v>
      </c>
      <c r="I30" s="68">
        <v>-237.4</v>
      </c>
      <c r="J30" s="68">
        <v>-133.5</v>
      </c>
      <c r="K30" s="68">
        <v>-136.30000000000001</v>
      </c>
    </row>
    <row r="31" spans="1:11" x14ac:dyDescent="0.25">
      <c r="A31" s="65" t="s">
        <v>106</v>
      </c>
      <c r="B31" s="68">
        <v>-83</v>
      </c>
      <c r="C31" s="68">
        <v>-129.6</v>
      </c>
      <c r="D31" s="68">
        <v>-138.9</v>
      </c>
      <c r="H31" s="65" t="s">
        <v>138</v>
      </c>
      <c r="I31" s="86">
        <v>0</v>
      </c>
      <c r="J31" s="68">
        <v>5.5</v>
      </c>
      <c r="K31" s="68">
        <v>0.5</v>
      </c>
    </row>
    <row r="32" spans="1:11" x14ac:dyDescent="0.25">
      <c r="A32" s="66"/>
      <c r="B32" s="66"/>
      <c r="C32" s="66"/>
      <c r="D32" s="66"/>
      <c r="H32" s="65" t="s">
        <v>139</v>
      </c>
      <c r="I32" s="68">
        <v>-2.4</v>
      </c>
      <c r="J32" s="68">
        <v>-0.6</v>
      </c>
      <c r="K32" s="68">
        <v>-13.3</v>
      </c>
    </row>
    <row r="33" spans="1:11" x14ac:dyDescent="0.25">
      <c r="A33" s="65" t="s">
        <v>107</v>
      </c>
      <c r="B33" s="86">
        <v>0</v>
      </c>
      <c r="C33" s="68">
        <v>-515.79999999999995</v>
      </c>
      <c r="D33" s="68">
        <v>-391.8</v>
      </c>
      <c r="H33" s="65" t="s">
        <v>140</v>
      </c>
      <c r="I33" s="68">
        <v>2.2000000000000002</v>
      </c>
      <c r="J33" s="68">
        <v>9.6</v>
      </c>
      <c r="K33" s="68">
        <v>8.3000000000000007</v>
      </c>
    </row>
    <row r="34" spans="1:11" x14ac:dyDescent="0.25">
      <c r="A34" s="65" t="s">
        <v>108</v>
      </c>
      <c r="B34" s="68">
        <v>5.2</v>
      </c>
      <c r="C34" s="68">
        <v>2.7</v>
      </c>
      <c r="D34" s="68">
        <v>-14.7</v>
      </c>
      <c r="H34" s="65" t="s">
        <v>141</v>
      </c>
      <c r="I34" s="68">
        <v>-331.8</v>
      </c>
      <c r="J34" s="86">
        <v>0</v>
      </c>
      <c r="K34" s="86">
        <v>0</v>
      </c>
    </row>
    <row r="35" spans="1:11" x14ac:dyDescent="0.25">
      <c r="A35" s="65" t="s">
        <v>60</v>
      </c>
      <c r="B35" s="68">
        <v>-77.8</v>
      </c>
      <c r="C35" s="68">
        <v>-642.70000000000005</v>
      </c>
      <c r="D35" s="68">
        <v>-545.4</v>
      </c>
      <c r="H35" s="65" t="s">
        <v>60</v>
      </c>
      <c r="I35" s="68">
        <v>-569.4</v>
      </c>
      <c r="J35" s="68">
        <v>-119</v>
      </c>
      <c r="K35" s="68">
        <v>-140.80000000000001</v>
      </c>
    </row>
    <row r="36" spans="1:11" x14ac:dyDescent="0.25">
      <c r="A36" s="65" t="s">
        <v>109</v>
      </c>
      <c r="B36" s="66"/>
      <c r="C36" s="66"/>
      <c r="D36" s="66"/>
      <c r="H36" s="65" t="s">
        <v>109</v>
      </c>
      <c r="I36" s="66"/>
      <c r="J36" s="66"/>
      <c r="K36" s="66"/>
    </row>
    <row r="37" spans="1:11" x14ac:dyDescent="0.25">
      <c r="A37" s="65" t="s">
        <v>110</v>
      </c>
      <c r="B37" s="68">
        <v>-19.399999999999999</v>
      </c>
      <c r="C37" s="68">
        <v>-19</v>
      </c>
      <c r="D37" s="68">
        <v>-36.6</v>
      </c>
      <c r="H37" s="65" t="s">
        <v>110</v>
      </c>
      <c r="I37" s="68">
        <v>-76.5</v>
      </c>
      <c r="J37" s="68">
        <v>-79</v>
      </c>
      <c r="K37" s="68">
        <v>-77.400000000000006</v>
      </c>
    </row>
    <row r="38" spans="1:11" x14ac:dyDescent="0.25">
      <c r="A38" s="65" t="s">
        <v>111</v>
      </c>
      <c r="B38" s="68">
        <v>-7.8</v>
      </c>
      <c r="C38" s="68">
        <v>-24.6</v>
      </c>
      <c r="D38" s="68">
        <v>-32.9</v>
      </c>
      <c r="H38" s="65" t="s">
        <v>111</v>
      </c>
      <c r="I38" s="68">
        <v>-34.700000000000003</v>
      </c>
      <c r="J38" s="68">
        <v>-31.2</v>
      </c>
      <c r="K38" s="68">
        <v>-31.2</v>
      </c>
    </row>
    <row r="39" spans="1:11" x14ac:dyDescent="0.25">
      <c r="A39" s="65" t="s">
        <v>112</v>
      </c>
      <c r="B39" s="86">
        <v>0</v>
      </c>
      <c r="C39" s="68">
        <v>-311.8</v>
      </c>
      <c r="D39" s="68">
        <v>-376.1</v>
      </c>
      <c r="H39" s="65" t="s">
        <v>112</v>
      </c>
      <c r="I39" s="68">
        <v>-460</v>
      </c>
      <c r="J39" s="68">
        <v>-485</v>
      </c>
      <c r="K39" s="86">
        <v>0</v>
      </c>
    </row>
    <row r="40" spans="1:11" x14ac:dyDescent="0.25">
      <c r="A40" s="66"/>
      <c r="B40" s="66"/>
      <c r="C40" s="66"/>
      <c r="D40" s="66"/>
      <c r="H40" s="65" t="s">
        <v>142</v>
      </c>
      <c r="I40" s="68">
        <v>350</v>
      </c>
      <c r="J40" s="86">
        <v>0</v>
      </c>
      <c r="K40" s="68">
        <v>100</v>
      </c>
    </row>
    <row r="41" spans="1:11" x14ac:dyDescent="0.25">
      <c r="A41" s="65" t="s">
        <v>113</v>
      </c>
      <c r="B41" s="68">
        <v>-100</v>
      </c>
      <c r="C41" s="86">
        <v>0</v>
      </c>
      <c r="D41" s="86">
        <v>0</v>
      </c>
      <c r="H41" s="65" t="s">
        <v>143</v>
      </c>
      <c r="I41" s="68">
        <v>-372.3</v>
      </c>
      <c r="J41" s="68">
        <v>-31.3</v>
      </c>
      <c r="K41" s="68">
        <v>-294.89999999999998</v>
      </c>
    </row>
    <row r="42" spans="1:11" x14ac:dyDescent="0.25">
      <c r="A42" s="66"/>
      <c r="B42" s="66"/>
      <c r="C42" s="66"/>
      <c r="D42" s="66"/>
      <c r="H42" s="65" t="s">
        <v>144</v>
      </c>
      <c r="I42" s="86">
        <v>0</v>
      </c>
      <c r="J42" s="86">
        <v>0</v>
      </c>
      <c r="K42" s="68">
        <v>-241.5</v>
      </c>
    </row>
    <row r="43" spans="1:11" x14ac:dyDescent="0.25">
      <c r="A43" s="65" t="s">
        <v>114</v>
      </c>
      <c r="B43" s="68">
        <v>900</v>
      </c>
      <c r="C43" s="86">
        <v>0</v>
      </c>
      <c r="D43" s="86">
        <v>0</v>
      </c>
      <c r="H43" s="65" t="s">
        <v>145</v>
      </c>
      <c r="I43" s="68">
        <v>1745.9</v>
      </c>
      <c r="J43" s="86">
        <v>0</v>
      </c>
      <c r="K43" s="86">
        <v>0</v>
      </c>
    </row>
    <row r="44" spans="1:11" x14ac:dyDescent="0.25">
      <c r="A44" s="65" t="s">
        <v>115</v>
      </c>
      <c r="B44" s="68">
        <v>-1170</v>
      </c>
      <c r="C44" s="86">
        <v>0</v>
      </c>
      <c r="D44" s="86">
        <v>0</v>
      </c>
      <c r="H44" s="65" t="s">
        <v>146</v>
      </c>
      <c r="I44" s="68">
        <v>-2345.9</v>
      </c>
      <c r="J44" s="86">
        <v>0</v>
      </c>
      <c r="K44" s="86">
        <v>0</v>
      </c>
    </row>
    <row r="45" spans="1:11" x14ac:dyDescent="0.25">
      <c r="A45" s="65" t="s">
        <v>116</v>
      </c>
      <c r="B45" s="86">
        <v>0</v>
      </c>
      <c r="C45" s="68">
        <v>-3.9</v>
      </c>
      <c r="D45" s="86">
        <v>0</v>
      </c>
      <c r="H45" s="65" t="s">
        <v>114</v>
      </c>
      <c r="I45" s="68">
        <v>814</v>
      </c>
      <c r="J45" s="68">
        <v>787</v>
      </c>
      <c r="K45" s="68">
        <v>858.3</v>
      </c>
    </row>
    <row r="46" spans="1:11" x14ac:dyDescent="0.25">
      <c r="A46" s="65" t="s">
        <v>117</v>
      </c>
      <c r="B46" s="68">
        <v>-87.4</v>
      </c>
      <c r="C46" s="86">
        <v>0</v>
      </c>
      <c r="D46" s="86">
        <v>0</v>
      </c>
      <c r="H46" s="65" t="s">
        <v>115</v>
      </c>
      <c r="I46" s="68">
        <v>-870</v>
      </c>
      <c r="J46" s="68">
        <v>-787</v>
      </c>
      <c r="K46" s="68">
        <v>-588.29999999999995</v>
      </c>
    </row>
    <row r="47" spans="1:11" x14ac:dyDescent="0.25">
      <c r="A47" s="65" t="s">
        <v>118</v>
      </c>
      <c r="B47" s="68">
        <v>-14</v>
      </c>
      <c r="C47" s="68">
        <v>-7.3</v>
      </c>
      <c r="D47" s="68">
        <v>-44.4</v>
      </c>
      <c r="H47" s="65" t="s">
        <v>116</v>
      </c>
      <c r="I47" s="86">
        <v>0</v>
      </c>
      <c r="J47" s="86">
        <v>0</v>
      </c>
      <c r="K47" s="68">
        <v>-9.3000000000000007</v>
      </c>
    </row>
    <row r="48" spans="1:11" x14ac:dyDescent="0.25">
      <c r="A48" s="65" t="s">
        <v>61</v>
      </c>
      <c r="B48" s="68">
        <v>-498.6</v>
      </c>
      <c r="C48" s="68">
        <v>-366.6</v>
      </c>
      <c r="D48" s="68">
        <v>-490</v>
      </c>
      <c r="H48" s="65" t="s">
        <v>147</v>
      </c>
      <c r="I48" s="68">
        <v>-0.1</v>
      </c>
      <c r="J48" s="68">
        <v>25.9</v>
      </c>
      <c r="K48" s="68">
        <v>47.5</v>
      </c>
    </row>
    <row r="49" spans="1:11" x14ac:dyDescent="0.25">
      <c r="A49" s="65" t="s">
        <v>119</v>
      </c>
      <c r="B49" s="68">
        <v>374.5</v>
      </c>
      <c r="C49" s="68">
        <v>1172.5</v>
      </c>
      <c r="D49" s="68">
        <v>1418.3</v>
      </c>
      <c r="H49" s="65" t="s">
        <v>148</v>
      </c>
      <c r="I49" s="68">
        <v>-4</v>
      </c>
      <c r="J49" s="68">
        <v>-2.1</v>
      </c>
      <c r="K49" s="68">
        <v>-0.2</v>
      </c>
    </row>
    <row r="50" spans="1:11" x14ac:dyDescent="0.25">
      <c r="A50" s="65" t="s">
        <v>120</v>
      </c>
      <c r="B50" s="68">
        <v>795.9</v>
      </c>
      <c r="C50" s="68">
        <v>248</v>
      </c>
      <c r="D50" s="68">
        <v>-237.5</v>
      </c>
      <c r="H50" s="65" t="s">
        <v>61</v>
      </c>
      <c r="I50" s="68">
        <v>-1253.5999999999999</v>
      </c>
      <c r="J50" s="68">
        <v>-602.70000000000005</v>
      </c>
      <c r="K50" s="68">
        <v>-237</v>
      </c>
    </row>
    <row r="51" spans="1:11" x14ac:dyDescent="0.25">
      <c r="A51" s="65" t="s">
        <v>121</v>
      </c>
      <c r="B51" s="68">
        <v>2.1</v>
      </c>
      <c r="C51" s="68">
        <v>-2.2000000000000002</v>
      </c>
      <c r="D51" s="68">
        <v>-14</v>
      </c>
      <c r="H51" s="65" t="s">
        <v>119</v>
      </c>
      <c r="I51" s="68">
        <v>98.7</v>
      </c>
      <c r="J51" s="68">
        <v>225.1</v>
      </c>
      <c r="K51" s="68">
        <v>195.4</v>
      </c>
    </row>
    <row r="52" spans="1:11" x14ac:dyDescent="0.25">
      <c r="A52" s="65" t="s">
        <v>122</v>
      </c>
      <c r="B52" s="67">
        <v>1172.5</v>
      </c>
      <c r="C52" s="67">
        <v>1418.3</v>
      </c>
      <c r="D52" s="67">
        <v>1166.8</v>
      </c>
      <c r="H52" s="65" t="s">
        <v>149</v>
      </c>
      <c r="I52" s="68">
        <v>117.5</v>
      </c>
      <c r="J52" s="68">
        <v>-24</v>
      </c>
      <c r="K52" s="68">
        <v>177.9</v>
      </c>
    </row>
    <row r="53" spans="1:11" x14ac:dyDescent="0.25">
      <c r="H53" s="65" t="s">
        <v>150</v>
      </c>
      <c r="I53" s="66"/>
      <c r="J53" s="66"/>
      <c r="K53" s="66"/>
    </row>
    <row r="54" spans="1:11" x14ac:dyDescent="0.25">
      <c r="H54" s="65" t="s">
        <v>151</v>
      </c>
      <c r="I54" s="68">
        <v>8.9</v>
      </c>
      <c r="J54" s="68">
        <v>-5.7</v>
      </c>
      <c r="K54" s="68">
        <v>1.2</v>
      </c>
    </row>
    <row r="55" spans="1:11" x14ac:dyDescent="0.25">
      <c r="H55" s="65" t="s">
        <v>122</v>
      </c>
      <c r="I55" s="67">
        <v>225.1</v>
      </c>
      <c r="J55" s="67">
        <v>195.4</v>
      </c>
      <c r="K55" s="67">
        <v>374.5</v>
      </c>
    </row>
  </sheetData>
  <sortState xmlns:xlrd2="http://schemas.microsoft.com/office/spreadsheetml/2017/richdata2" columnSort="1" ref="I2:K55">
    <sortCondition ref="I2:K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550DA-B624-4752-9D51-D896479F0D02}">
  <dimension ref="A1:L15"/>
  <sheetViews>
    <sheetView workbookViewId="0">
      <selection activeCell="E10" sqref="E10"/>
    </sheetView>
  </sheetViews>
  <sheetFormatPr defaultRowHeight="15" x14ac:dyDescent="0.25"/>
  <sheetData>
    <row r="1" spans="1:12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3.25" x14ac:dyDescent="0.35">
      <c r="A2" s="2"/>
      <c r="B2" s="39" t="s">
        <v>1</v>
      </c>
      <c r="C2" s="2"/>
      <c r="D2" s="2"/>
      <c r="E2" s="2"/>
      <c r="F2" s="2"/>
      <c r="G2" s="2"/>
      <c r="H2" s="2"/>
      <c r="I2" s="2"/>
      <c r="J2" s="2"/>
      <c r="K2" s="2"/>
      <c r="L2" s="40"/>
    </row>
    <row r="3" spans="1:12" x14ac:dyDescent="0.25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2"/>
    </row>
    <row r="4" spans="1:12" x14ac:dyDescent="0.25">
      <c r="A4" s="42" t="s">
        <v>40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 t="s">
        <v>41</v>
      </c>
      <c r="C6" s="2"/>
      <c r="D6" s="43">
        <v>0.2</v>
      </c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 t="s">
        <v>42</v>
      </c>
      <c r="C7" s="2"/>
      <c r="D7" s="43">
        <v>3.6999999999999998E-2</v>
      </c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 t="s">
        <v>43</v>
      </c>
      <c r="C8" s="2"/>
      <c r="D8" s="44">
        <v>1.6</v>
      </c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 t="s">
        <v>44</v>
      </c>
      <c r="C9" s="2"/>
      <c r="D9" s="43">
        <v>0.06</v>
      </c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 t="s">
        <v>34</v>
      </c>
      <c r="B12" s="2"/>
      <c r="C12" s="23">
        <f>'SIG DCF'!D63</f>
        <v>3040.5699669599999</v>
      </c>
      <c r="D12" s="2"/>
      <c r="E12" s="2" t="s">
        <v>33</v>
      </c>
      <c r="F12" s="2"/>
      <c r="G12" s="23">
        <f>'SIG DCF'!D60</f>
        <v>1074</v>
      </c>
      <c r="H12" s="2"/>
      <c r="I12" s="2" t="s">
        <v>45</v>
      </c>
      <c r="J12" s="2"/>
      <c r="K12" s="23">
        <f>G12+C12</f>
        <v>4114.5699669599999</v>
      </c>
      <c r="L12" s="2"/>
    </row>
    <row r="13" spans="1:12" x14ac:dyDescent="0.25">
      <c r="A13" s="2" t="s">
        <v>46</v>
      </c>
      <c r="B13" s="2"/>
      <c r="C13" s="45">
        <f>C12/K12</f>
        <v>0.73897636724512628</v>
      </c>
      <c r="D13" s="2"/>
      <c r="E13" s="2" t="s">
        <v>47</v>
      </c>
      <c r="F13" s="2"/>
      <c r="G13" s="46">
        <f>G12/K12</f>
        <v>0.26102363275487372</v>
      </c>
      <c r="H13" s="2"/>
      <c r="I13" s="2"/>
      <c r="J13" s="2"/>
      <c r="K13" s="2"/>
      <c r="L13" s="2"/>
    </row>
    <row r="14" spans="1:12" x14ac:dyDescent="0.25">
      <c r="A14" s="2" t="s">
        <v>48</v>
      </c>
      <c r="B14" s="2"/>
      <c r="C14" s="47">
        <f>D7+D8*(D9)</f>
        <v>0.13300000000000001</v>
      </c>
      <c r="D14" s="2"/>
      <c r="E14" s="2" t="s">
        <v>49</v>
      </c>
      <c r="F14" s="2"/>
      <c r="G14" s="46">
        <v>0.06</v>
      </c>
      <c r="H14" s="2"/>
      <c r="I14" s="48" t="s">
        <v>1</v>
      </c>
      <c r="J14" s="49"/>
      <c r="K14" s="50">
        <f>C13*C14+G14*G13*(1-D6)</f>
        <v>0.11081299121583574</v>
      </c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 DCF</vt:lpstr>
      <vt:lpstr>Raw IS</vt:lpstr>
      <vt:lpstr>Raw CF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2023-05-02T11:48:48Z</dcterms:created>
  <dcterms:modified xsi:type="dcterms:W3CDTF">2023-07-04T10:40:30Z</dcterms:modified>
</cp:coreProperties>
</file>