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E43B740B-06BA-4704-930D-4908FF6286BC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ACMR DCF" sheetId="1" r:id="rId1"/>
    <sheet name="WACC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7" i="1" l="1"/>
  <c r="I56" i="1"/>
  <c r="J48" i="1"/>
  <c r="K48" i="1"/>
  <c r="L48" i="1"/>
  <c r="M48" i="1"/>
  <c r="N48" i="1"/>
  <c r="O48" i="1"/>
  <c r="I48" i="1"/>
  <c r="J45" i="1"/>
  <c r="K45" i="1"/>
  <c r="L45" i="1"/>
  <c r="M45" i="1"/>
  <c r="N45" i="1"/>
  <c r="O45" i="1"/>
  <c r="I45" i="1"/>
  <c r="J39" i="1"/>
  <c r="K39" i="1"/>
  <c r="L39" i="1"/>
  <c r="M39" i="1"/>
  <c r="N39" i="1"/>
  <c r="I39" i="1"/>
  <c r="I38" i="1"/>
  <c r="J38" i="1"/>
  <c r="K38" i="1"/>
  <c r="L38" i="1"/>
  <c r="M38" i="1"/>
  <c r="N38" i="1"/>
  <c r="I36" i="1"/>
  <c r="I34" i="1"/>
  <c r="J29" i="1"/>
  <c r="K29" i="1"/>
  <c r="L29" i="1" s="1"/>
  <c r="I29" i="1"/>
  <c r="J11" i="1"/>
  <c r="K11" i="1"/>
  <c r="L11" i="1" s="1"/>
  <c r="M11" i="1" s="1"/>
  <c r="N11" i="1" s="1"/>
  <c r="O11" i="1" s="1"/>
  <c r="P11" i="1" s="1"/>
  <c r="Q11" i="1" s="1"/>
  <c r="R11" i="1" s="1"/>
  <c r="R48" i="1" s="1"/>
  <c r="I11" i="1"/>
  <c r="D28" i="1"/>
  <c r="E28" i="1"/>
  <c r="F54" i="1"/>
  <c r="G54" i="1"/>
  <c r="H54" i="1"/>
  <c r="F56" i="1"/>
  <c r="G56" i="1"/>
  <c r="H56" i="1"/>
  <c r="H31" i="1"/>
  <c r="G12" i="2"/>
  <c r="D31" i="1"/>
  <c r="E31" i="1"/>
  <c r="F31" i="1"/>
  <c r="G31" i="1"/>
  <c r="H32" i="1"/>
  <c r="L65" i="1"/>
  <c r="L64" i="1" s="1"/>
  <c r="D68" i="1"/>
  <c r="C12" i="2" s="1"/>
  <c r="L67" i="1"/>
  <c r="L68" i="1" s="1"/>
  <c r="Q45" i="1" l="1"/>
  <c r="Q48" i="1"/>
  <c r="R45" i="1"/>
  <c r="P45" i="1"/>
  <c r="P48" i="1"/>
  <c r="M29" i="1"/>
  <c r="N29" i="1"/>
  <c r="D29" i="1"/>
  <c r="E29" i="1"/>
  <c r="E26" i="1"/>
  <c r="G26" i="1"/>
  <c r="D23" i="1"/>
  <c r="E23" i="1"/>
  <c r="F23" i="1"/>
  <c r="G23" i="1"/>
  <c r="H23" i="1"/>
  <c r="D20" i="1"/>
  <c r="E20" i="1"/>
  <c r="F20" i="1"/>
  <c r="G20" i="1"/>
  <c r="H20" i="1"/>
  <c r="I41" i="1"/>
  <c r="C14" i="2"/>
  <c r="F49" i="1"/>
  <c r="G49" i="1"/>
  <c r="H49" i="1"/>
  <c r="E49" i="1"/>
  <c r="D49" i="1"/>
  <c r="D46" i="1"/>
  <c r="F46" i="1"/>
  <c r="H46" i="1"/>
  <c r="F32" i="1"/>
  <c r="D32" i="1"/>
  <c r="D26" i="1"/>
  <c r="G52" i="1"/>
  <c r="H52" i="1"/>
  <c r="G46" i="1"/>
  <c r="F26" i="1"/>
  <c r="H26" i="1"/>
  <c r="G16" i="1"/>
  <c r="F16" i="1"/>
  <c r="H16" i="1"/>
  <c r="E52" i="1"/>
  <c r="D52" i="1"/>
  <c r="E46" i="1"/>
  <c r="D44" i="1"/>
  <c r="E44" i="1" s="1"/>
  <c r="E16" i="1"/>
  <c r="E34" i="1" s="1"/>
  <c r="D16" i="1"/>
  <c r="D34" i="1" s="1"/>
  <c r="H12" i="1"/>
  <c r="G12" i="1"/>
  <c r="F12" i="1"/>
  <c r="E12" i="1"/>
  <c r="J9" i="1"/>
  <c r="K9" i="1" s="1"/>
  <c r="L9" i="1" s="1"/>
  <c r="M9" i="1" s="1"/>
  <c r="N9" i="1" s="1"/>
  <c r="O9" i="1" s="1"/>
  <c r="P9" i="1" s="1"/>
  <c r="Q9" i="1" s="1"/>
  <c r="R9" i="1" s="1"/>
  <c r="P29" i="1" l="1"/>
  <c r="Q29" i="1" s="1"/>
  <c r="O29" i="1"/>
  <c r="R29" i="1" s="1"/>
  <c r="H34" i="1"/>
  <c r="H28" i="1"/>
  <c r="H29" i="1" s="1"/>
  <c r="G34" i="1"/>
  <c r="G28" i="1"/>
  <c r="G29" i="1" s="1"/>
  <c r="F34" i="1"/>
  <c r="F28" i="1"/>
  <c r="D56" i="1"/>
  <c r="E17" i="1"/>
  <c r="G17" i="1"/>
  <c r="I28" i="1"/>
  <c r="I19" i="1"/>
  <c r="I22" i="1"/>
  <c r="I25" i="1"/>
  <c r="I54" i="1"/>
  <c r="I51" i="1"/>
  <c r="I58" i="1" s="1"/>
  <c r="F52" i="1"/>
  <c r="K12" i="2"/>
  <c r="I16" i="1"/>
  <c r="D17" i="1"/>
  <c r="H17" i="1"/>
  <c r="F17" i="1"/>
  <c r="E32" i="1"/>
  <c r="G32" i="1"/>
  <c r="F29" i="1" l="1"/>
  <c r="F38" i="1"/>
  <c r="I31" i="1"/>
  <c r="I32" i="1" s="1"/>
  <c r="E56" i="1"/>
  <c r="F42" i="1"/>
  <c r="D38" i="1"/>
  <c r="K28" i="1"/>
  <c r="J28" i="1"/>
  <c r="J25" i="1"/>
  <c r="J22" i="1"/>
  <c r="J19" i="1"/>
  <c r="H38" i="1"/>
  <c r="I14" i="1"/>
  <c r="C13" i="2"/>
  <c r="G13" i="2"/>
  <c r="G38" i="1"/>
  <c r="E38" i="1"/>
  <c r="E42" i="1" s="1"/>
  <c r="J51" i="1"/>
  <c r="J16" i="1"/>
  <c r="H42" i="1" l="1"/>
  <c r="H58" i="1"/>
  <c r="D54" i="1"/>
  <c r="D58" i="1" s="1"/>
  <c r="D42" i="1"/>
  <c r="G58" i="1"/>
  <c r="G42" i="1"/>
  <c r="K25" i="1"/>
  <c r="J31" i="1"/>
  <c r="J32" i="1" s="1"/>
  <c r="J34" i="1"/>
  <c r="J36" i="1" s="1"/>
  <c r="J56" i="1" s="1"/>
  <c r="K19" i="1"/>
  <c r="K22" i="1"/>
  <c r="D39" i="1"/>
  <c r="E54" i="1"/>
  <c r="E58" i="1" s="1"/>
  <c r="F58" i="1"/>
  <c r="J41" i="1"/>
  <c r="F39" i="1"/>
  <c r="H39" i="1"/>
  <c r="K14" i="2"/>
  <c r="E5" i="1" s="1"/>
  <c r="I59" i="1" s="1"/>
  <c r="J14" i="1"/>
  <c r="K16" i="1"/>
  <c r="G39" i="1"/>
  <c r="E39" i="1"/>
  <c r="K51" i="1"/>
  <c r="J54" i="1" l="1"/>
  <c r="K14" i="1"/>
  <c r="K34" i="1"/>
  <c r="K36" i="1" s="1"/>
  <c r="K56" i="1" s="1"/>
  <c r="K31" i="1"/>
  <c r="K32" i="1" s="1"/>
  <c r="L25" i="1"/>
  <c r="L22" i="1"/>
  <c r="L19" i="1"/>
  <c r="L28" i="1"/>
  <c r="K41" i="1"/>
  <c r="L51" i="1"/>
  <c r="L16" i="1"/>
  <c r="J58" i="1" l="1"/>
  <c r="J59" i="1" s="1"/>
  <c r="K54" i="1"/>
  <c r="L31" i="1"/>
  <c r="L34" i="1"/>
  <c r="L36" i="1" s="1"/>
  <c r="L56" i="1" s="1"/>
  <c r="L32" i="1"/>
  <c r="M28" i="1"/>
  <c r="M25" i="1"/>
  <c r="M22" i="1"/>
  <c r="M19" i="1"/>
  <c r="L41" i="1"/>
  <c r="L14" i="1"/>
  <c r="M16" i="1"/>
  <c r="M51" i="1"/>
  <c r="K58" i="1" l="1"/>
  <c r="K59" i="1" s="1"/>
  <c r="L54" i="1"/>
  <c r="M31" i="1"/>
  <c r="M32" i="1" s="1"/>
  <c r="M14" i="1"/>
  <c r="M34" i="1"/>
  <c r="M36" i="1" s="1"/>
  <c r="M56" i="1" s="1"/>
  <c r="N25" i="1"/>
  <c r="N22" i="1"/>
  <c r="N19" i="1"/>
  <c r="N28" i="1"/>
  <c r="M41" i="1"/>
  <c r="N51" i="1"/>
  <c r="N16" i="1"/>
  <c r="N14" i="1" s="1"/>
  <c r="L58" i="1" l="1"/>
  <c r="L59" i="1" s="1"/>
  <c r="N31" i="1"/>
  <c r="N32" i="1" s="1"/>
  <c r="M54" i="1"/>
  <c r="N34" i="1"/>
  <c r="N36" i="1" s="1"/>
  <c r="N56" i="1" s="1"/>
  <c r="O28" i="1"/>
  <c r="O38" i="1" s="1"/>
  <c r="O39" i="1" s="1"/>
  <c r="O25" i="1"/>
  <c r="O22" i="1"/>
  <c r="O19" i="1"/>
  <c r="N41" i="1"/>
  <c r="O16" i="1"/>
  <c r="O51" i="1"/>
  <c r="M58" i="1" l="1"/>
  <c r="M59" i="1" s="1"/>
  <c r="N54" i="1"/>
  <c r="O31" i="1"/>
  <c r="O32" i="1" s="1"/>
  <c r="O14" i="1"/>
  <c r="O34" i="1"/>
  <c r="O36" i="1" s="1"/>
  <c r="P25" i="1"/>
  <c r="P22" i="1"/>
  <c r="P19" i="1"/>
  <c r="P28" i="1"/>
  <c r="P38" i="1" s="1"/>
  <c r="P39" i="1" s="1"/>
  <c r="O41" i="1"/>
  <c r="P16" i="1"/>
  <c r="P51" i="1"/>
  <c r="O56" i="1" l="1"/>
  <c r="N58" i="1"/>
  <c r="N59" i="1" s="1"/>
  <c r="O54" i="1"/>
  <c r="P34" i="1"/>
  <c r="P36" i="1" s="1"/>
  <c r="P31" i="1"/>
  <c r="P32" i="1" s="1"/>
  <c r="Q28" i="1"/>
  <c r="Q38" i="1" s="1"/>
  <c r="Q39" i="1" s="1"/>
  <c r="Q25" i="1"/>
  <c r="Q22" i="1"/>
  <c r="Q19" i="1"/>
  <c r="P41" i="1"/>
  <c r="P14" i="1"/>
  <c r="Q16" i="1"/>
  <c r="Q51" i="1"/>
  <c r="P56" i="1" l="1"/>
  <c r="O58" i="1"/>
  <c r="O59" i="1" s="1"/>
  <c r="P54" i="1"/>
  <c r="Q34" i="1"/>
  <c r="Q36" i="1" s="1"/>
  <c r="Q31" i="1"/>
  <c r="Q32" i="1" s="1"/>
  <c r="R25" i="1"/>
  <c r="R22" i="1"/>
  <c r="R19" i="1"/>
  <c r="R28" i="1"/>
  <c r="R38" i="1" s="1"/>
  <c r="R39" i="1" s="1"/>
  <c r="Q41" i="1"/>
  <c r="R16" i="1"/>
  <c r="R51" i="1"/>
  <c r="Q14" i="1"/>
  <c r="Q56" i="1" l="1"/>
  <c r="P58" i="1"/>
  <c r="P59" i="1" s="1"/>
  <c r="Q54" i="1"/>
  <c r="R31" i="1"/>
  <c r="R32" i="1" s="1"/>
  <c r="R14" i="1"/>
  <c r="R34" i="1"/>
  <c r="R36" i="1" s="1"/>
  <c r="R41" i="1"/>
  <c r="R56" i="1" l="1"/>
  <c r="Q58" i="1"/>
  <c r="Q59" i="1" s="1"/>
  <c r="R54" i="1"/>
  <c r="R58" i="1" s="1"/>
  <c r="C61" i="1" l="1"/>
  <c r="C62" i="1" s="1"/>
  <c r="R59" i="1"/>
  <c r="G64" i="1" l="1"/>
  <c r="G66" i="1" s="1"/>
  <c r="G69" i="1" s="1"/>
  <c r="S56" i="1" l="1"/>
  <c r="T56" i="1" s="1"/>
  <c r="U56" i="1" s="1"/>
  <c r="V56" i="1" s="1"/>
  <c r="W56" i="1" s="1"/>
  <c r="X56" i="1" s="1"/>
  <c r="Y56" i="1" s="1"/>
  <c r="Z56" i="1" s="1"/>
  <c r="AA56" i="1" s="1"/>
  <c r="AB56" i="1" s="1"/>
  <c r="AC56" i="1" s="1"/>
  <c r="AD56" i="1" s="1"/>
  <c r="AE56" i="1" s="1"/>
  <c r="AF56" i="1" s="1"/>
  <c r="AG56" i="1" s="1"/>
  <c r="AH56" i="1" s="1"/>
  <c r="AI56" i="1" s="1"/>
  <c r="AJ56" i="1" s="1"/>
  <c r="AK56" i="1" s="1"/>
  <c r="AL56" i="1" s="1"/>
  <c r="AM56" i="1" s="1"/>
  <c r="AN56" i="1" s="1"/>
  <c r="AO56" i="1" s="1"/>
  <c r="AP56" i="1" s="1"/>
  <c r="AQ56" i="1" s="1"/>
  <c r="AR56" i="1" s="1"/>
  <c r="AS56" i="1" s="1"/>
  <c r="AT56" i="1" s="1"/>
  <c r="AU56" i="1" s="1"/>
  <c r="AV56" i="1" s="1"/>
  <c r="AW56" i="1" s="1"/>
  <c r="AX56" i="1" s="1"/>
  <c r="AY56" i="1" s="1"/>
  <c r="AZ56" i="1" s="1"/>
  <c r="BA56" i="1" s="1"/>
  <c r="BB56" i="1" s="1"/>
  <c r="BC56" i="1" s="1"/>
  <c r="BD56" i="1" s="1"/>
  <c r="BE56" i="1" s="1"/>
  <c r="BF56" i="1" s="1"/>
  <c r="BG56" i="1" s="1"/>
  <c r="BH56" i="1" s="1"/>
  <c r="BI56" i="1" s="1"/>
  <c r="BJ56" i="1" s="1"/>
  <c r="BK56" i="1" s="1"/>
  <c r="BL56" i="1" s="1"/>
  <c r="BM56" i="1" s="1"/>
  <c r="BN56" i="1" s="1"/>
  <c r="BO56" i="1" s="1"/>
  <c r="BP56" i="1" s="1"/>
  <c r="BQ56" i="1" s="1"/>
  <c r="BR56" i="1" s="1"/>
  <c r="BS56" i="1" s="1"/>
  <c r="BT56" i="1" s="1"/>
  <c r="BU56" i="1" s="1"/>
  <c r="BV56" i="1" s="1"/>
  <c r="BW56" i="1" s="1"/>
  <c r="BX56" i="1" s="1"/>
  <c r="BY56" i="1" s="1"/>
  <c r="BZ56" i="1" s="1"/>
  <c r="CA56" i="1" s="1"/>
  <c r="CB56" i="1" s="1"/>
  <c r="CC56" i="1" s="1"/>
  <c r="CD56" i="1" s="1"/>
  <c r="CE56" i="1" s="1"/>
  <c r="CF56" i="1" s="1"/>
  <c r="CG56" i="1" s="1"/>
  <c r="CH56" i="1" s="1"/>
  <c r="F61" i="1" l="1"/>
  <c r="H64" i="1" s="1"/>
  <c r="H66" i="1" s="1"/>
  <c r="H69" i="1" l="1"/>
  <c r="D69" i="1" s="1"/>
  <c r="L63" i="1" s="1"/>
  <c r="J6" i="1" l="1"/>
  <c r="N5" i="1" s="1"/>
</calcChain>
</file>

<file path=xl/sharedStrings.xml><?xml version="1.0" encoding="utf-8"?>
<sst xmlns="http://schemas.openxmlformats.org/spreadsheetml/2006/main" count="85" uniqueCount="58">
  <si>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</si>
  <si>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</si>
  <si>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</si>
  <si>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</si>
  <si>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</si>
  <si>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</si>
  <si>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</si>
  <si>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</si>
  <si>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</si>
  <si>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</si>
  <si>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</si>
  <si>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</si>
  <si>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</si>
  <si>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</si>
  <si>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</si>
  <si>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</si>
  <si>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</si>
  <si>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</si>
  <si>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</si>
  <si>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</si>
  <si>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</si>
  <si>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</si>
  <si>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</si>
  <si>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</si>
  <si>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</si>
  <si>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</si>
  <si>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</si>
  <si>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</si>
  <si>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</si>
  <si>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</si>
  <si>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</si>
  <si>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</si>
  <si>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</si>
  <si>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</si>
  <si>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</si>
  <si>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</si>
  <si>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</si>
  <si>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</si>
  <si>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</si>
  <si>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</si>
  <si>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</si>
  <si>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</si>
  <si>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</si>
  <si>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</si>
  <si>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</si>
  <si>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</si>
  <si>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</si>
  <si>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</si>
  <si>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</si>
  <si>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</si>
  <si>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</si>
  <si>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</si>
  <si>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</si>
  <si>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</si>
  <si>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S&amp;M</t>
  </si>
  <si>
    <t>G&amp;A</t>
  </si>
  <si>
    <t>NCI</t>
  </si>
  <si>
    <t>ACM Research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</si>
</sst>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0" fontId="3" fillId="2" borderId="0" xfId="1" applyNumberFormat="1" applyFont="1" applyFill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9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0" fontId="6" fillId="4" borderId="4" xfId="0" applyFont="1" applyFill="1" applyBorder="1"/>
    <xf numFmtId="1" fontId="3" fillId="2" borderId="12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1" fontId="0" fillId="2" borderId="4" xfId="0" applyNumberFormat="1" applyFont="1" applyFill="1" applyBorder="1"/>
    <xf numFmtId="1" fontId="0" fillId="2" borderId="0" xfId="0" applyNumberFormat="1" applyFont="1" applyFill="1" applyBorder="1"/>
    <xf numFmtId="164" fontId="10" fillId="8" borderId="4" xfId="1" applyNumberFormat="1" applyFont="1" applyFill="1" applyBorder="1"/>
    <xf numFmtId="164" fontId="10" fillId="8" borderId="0" xfId="1" applyNumberFormat="1" applyFont="1" applyFill="1" applyBorder="1"/>
    <xf numFmtId="0" fontId="0" fillId="2" borderId="4" xfId="0" applyFont="1" applyFill="1" applyBorder="1"/>
    <xf numFmtId="0" fontId="0" fillId="2" borderId="0" xfId="0" applyFont="1" applyFill="1" applyBorder="1"/>
    <xf numFmtId="1" fontId="0" fillId="2" borderId="12" xfId="0" applyNumberFormat="1" applyFont="1" applyFill="1" applyBorder="1"/>
    <xf numFmtId="1" fontId="0" fillId="2" borderId="1" xfId="0" applyNumberFormat="1" applyFont="1" applyFill="1" applyBorder="1"/>
    <xf numFmtId="164" fontId="10" fillId="2" borderId="4" xfId="1" applyNumberFormat="1" applyFont="1" applyFill="1" applyBorder="1"/>
    <xf numFmtId="164" fontId="10" fillId="2" borderId="0" xfId="1" applyNumberFormat="1" applyFont="1" applyFill="1" applyBorder="1"/>
    <xf numFmtId="3" fontId="0" fillId="2" borderId="4" xfId="0" applyNumberFormat="1" applyFont="1" applyFill="1" applyBorder="1"/>
    <xf numFmtId="3" fontId="0" fillId="2" borderId="0" xfId="0" applyNumberFormat="1" applyFont="1" applyFill="1" applyBorder="1"/>
    <xf numFmtId="0" fontId="2" fillId="3" borderId="4" xfId="0" applyFont="1" applyFill="1" applyBorder="1"/>
    <xf numFmtId="0" fontId="2" fillId="3" borderId="0" xfId="0" applyFont="1" applyFill="1" applyBorder="1"/>
    <xf numFmtId="3" fontId="0" fillId="2" borderId="0" xfId="0" applyNumberFormat="1" applyFont="1" applyFill="1"/>
    <xf numFmtId="164" fontId="10" fillId="8" borderId="4" xfId="0" applyNumberFormat="1" applyFont="1" applyFill="1" applyBorder="1"/>
    <xf numFmtId="164" fontId="10" fillId="8" borderId="0" xfId="0" applyNumberFormat="1" applyFont="1" applyFill="1" applyBorder="1"/>
    <xf numFmtId="10" fontId="10" fillId="8" borderId="4" xfId="0" applyNumberFormat="1" applyFont="1" applyFill="1" applyBorder="1"/>
    <xf numFmtId="10" fontId="10" fillId="8" borderId="0" xfId="0" applyNumberFormat="1" applyFont="1" applyFill="1" applyBorder="1"/>
    <xf numFmtId="164" fontId="0" fillId="8" borderId="4" xfId="0" applyNumberFormat="1" applyFont="1" applyFill="1" applyBorder="1"/>
    <xf numFmtId="164" fontId="0" fillId="8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0"/>
  <sheetViews>
    <sheetView tabSelected="1" topLeftCell="A58" workbookViewId="0">
      <selection activeCell="I64" sqref="I64"/>
    </sheetView>
  </sheetViews>
  <sheetFormatPr defaultRowHeight="15" x14ac:dyDescent="0.25"/>
  <cols>
    <col min="1" max="1" width="7.7109375" style="2" customWidth="1"/>
    <col min="2" max="2" width="14.5703125" style="2" customWidth="1"/>
    <col min="3" max="13" width="9.140625" style="2"/>
    <col min="14" max="14" width="10.7109375" style="2" bestFit="1" customWidth="1"/>
    <col min="15" max="15" width="9.140625" style="2"/>
    <col min="16" max="16" width="10.7109375" style="2" customWidth="1"/>
    <col min="17" max="18" width="9.140625" style="2"/>
    <col min="19" max="16384" width="9.140625" style="50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9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0.10138984215601121</v>
      </c>
      <c r="G5" s="1"/>
      <c r="H5" s="1" t="s">
        <v>2</v>
      </c>
      <c r="I5" s="1"/>
      <c r="J5" s="7">
        <v>10.71</v>
      </c>
      <c r="K5" s="1"/>
      <c r="L5" s="1" t="s">
        <v>3</v>
      </c>
      <c r="M5" s="1"/>
      <c r="N5" s="66">
        <f>(J6/J5)-1</f>
        <v>0.52950550676887942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0.03</v>
      </c>
      <c r="G6" s="1"/>
      <c r="H6" s="1" t="s">
        <v>5</v>
      </c>
      <c r="I6" s="1"/>
      <c r="J6" s="7">
        <f>D69</f>
        <v>16.3810039774947</v>
      </c>
      <c r="K6" s="1"/>
      <c r="L6" s="1" t="s">
        <v>53</v>
      </c>
      <c r="M6" s="1"/>
      <c r="N6" s="65">
        <v>45073</v>
      </c>
      <c r="O6" s="1"/>
      <c r="P6" s="1"/>
      <c r="Q6" s="1"/>
    </row>
    <row r="7" spans="1:86" x14ac:dyDescent="0.25">
      <c r="B7" s="65"/>
      <c r="C7" s="1"/>
      <c r="D7" s="1"/>
      <c r="E7" s="9"/>
      <c r="F7" s="1"/>
      <c r="G7" s="1"/>
      <c r="H7" s="1"/>
      <c r="I7" s="1"/>
      <c r="J7" s="1"/>
      <c r="K7" s="1"/>
      <c r="L7" s="56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37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1">
        <v>2019</v>
      </c>
      <c r="F10" s="10">
        <v>2020</v>
      </c>
      <c r="G10" s="10">
        <v>2021</v>
      </c>
      <c r="H10" s="10">
        <v>2022</v>
      </c>
      <c r="I10" s="63">
        <v>2023</v>
      </c>
      <c r="J10" s="11">
        <v>2024</v>
      </c>
      <c r="K10" s="11">
        <v>2025</v>
      </c>
      <c r="L10" s="11">
        <v>2026</v>
      </c>
      <c r="M10" s="11">
        <v>2027</v>
      </c>
      <c r="N10" s="11">
        <v>2028</v>
      </c>
      <c r="O10" s="11">
        <v>2029</v>
      </c>
      <c r="P10" s="11">
        <v>2030</v>
      </c>
      <c r="Q10" s="11">
        <v>2031</v>
      </c>
      <c r="R10" s="11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/>
      <c r="D11" s="12">
        <v>74643</v>
      </c>
      <c r="E11" s="12">
        <v>107524</v>
      </c>
      <c r="F11" s="12">
        <v>156624</v>
      </c>
      <c r="G11" s="12">
        <v>259751</v>
      </c>
      <c r="H11" s="12">
        <v>388832</v>
      </c>
      <c r="I11" s="71">
        <f>H11*(1+I12)</f>
        <v>543000</v>
      </c>
      <c r="J11" s="72">
        <f t="shared" ref="J11:R11" si="1">I11*(1+J12)</f>
        <v>630000</v>
      </c>
      <c r="K11" s="72">
        <f t="shared" si="1"/>
        <v>683000</v>
      </c>
      <c r="L11" s="72">
        <f t="shared" si="1"/>
        <v>758000</v>
      </c>
      <c r="M11" s="72">
        <f t="shared" si="1"/>
        <v>901000</v>
      </c>
      <c r="N11" s="72">
        <f t="shared" si="1"/>
        <v>1040000</v>
      </c>
      <c r="O11" s="72">
        <f t="shared" si="1"/>
        <v>1120000</v>
      </c>
      <c r="P11" s="72">
        <f t="shared" si="1"/>
        <v>1190000</v>
      </c>
      <c r="Q11" s="72">
        <f t="shared" si="1"/>
        <v>1264375</v>
      </c>
      <c r="R11" s="72">
        <f t="shared" si="1"/>
        <v>1343398.4375</v>
      </c>
    </row>
    <row r="12" spans="1:86" x14ac:dyDescent="0.25">
      <c r="A12" s="1"/>
      <c r="B12" s="68" t="s">
        <v>8</v>
      </c>
      <c r="C12" s="69"/>
      <c r="D12" s="69"/>
      <c r="E12" s="69">
        <f t="shared" ref="E12:H12" si="2">(E11/D11)-1</f>
        <v>0.4405101617030398</v>
      </c>
      <c r="F12" s="69">
        <f t="shared" si="2"/>
        <v>0.45664223801197878</v>
      </c>
      <c r="G12" s="69">
        <f t="shared" si="2"/>
        <v>0.65843676575748278</v>
      </c>
      <c r="H12" s="69">
        <f t="shared" si="2"/>
        <v>0.49694130147718396</v>
      </c>
      <c r="I12" s="73">
        <v>0.39649000082297747</v>
      </c>
      <c r="J12" s="74">
        <v>0.16022099447513805</v>
      </c>
      <c r="K12" s="74">
        <v>8.412698412698405E-2</v>
      </c>
      <c r="L12" s="74">
        <v>0.10980966325036601</v>
      </c>
      <c r="M12" s="74">
        <v>0.18865435356200533</v>
      </c>
      <c r="N12" s="74">
        <v>0.15427302996670367</v>
      </c>
      <c r="O12" s="74">
        <v>7.6923076923076872E-2</v>
      </c>
      <c r="P12" s="74">
        <v>6.25E-2</v>
      </c>
      <c r="Q12" s="74">
        <v>6.25E-2</v>
      </c>
      <c r="R12" s="74">
        <v>6.25E-2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75"/>
      <c r="J13" s="76"/>
      <c r="K13" s="76"/>
      <c r="L13" s="76"/>
      <c r="M13" s="76"/>
      <c r="N13" s="76"/>
      <c r="O13" s="76"/>
      <c r="P13" s="76"/>
      <c r="Q13" s="76"/>
      <c r="R13" s="76"/>
    </row>
    <row r="14" spans="1:86" x14ac:dyDescent="0.25">
      <c r="A14" s="1"/>
      <c r="B14" s="1" t="s">
        <v>9</v>
      </c>
      <c r="C14" s="12"/>
      <c r="D14" s="12">
        <v>40194</v>
      </c>
      <c r="E14" s="12">
        <v>56870</v>
      </c>
      <c r="F14" s="12">
        <v>87025</v>
      </c>
      <c r="G14" s="12">
        <v>144895</v>
      </c>
      <c r="H14" s="35">
        <v>205217</v>
      </c>
      <c r="I14" s="77">
        <f>I11-I16</f>
        <v>297292.5</v>
      </c>
      <c r="J14" s="78">
        <f t="shared" ref="J14:K14" si="3">J11-J16</f>
        <v>352611</v>
      </c>
      <c r="K14" s="78">
        <f t="shared" si="3"/>
        <v>382275.1</v>
      </c>
      <c r="L14" s="78">
        <f t="shared" ref="L14:R14" si="4">L11-L16</f>
        <v>424252.6</v>
      </c>
      <c r="M14" s="78">
        <f t="shared" si="4"/>
        <v>504289.69999999995</v>
      </c>
      <c r="N14" s="78">
        <f t="shared" si="4"/>
        <v>582088</v>
      </c>
      <c r="O14" s="78">
        <f t="shared" si="4"/>
        <v>626864</v>
      </c>
      <c r="P14" s="78">
        <f t="shared" si="4"/>
        <v>666043</v>
      </c>
      <c r="Q14" s="78">
        <f t="shared" si="4"/>
        <v>707670.6875</v>
      </c>
      <c r="R14" s="78">
        <f t="shared" si="4"/>
        <v>751900.10546875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75"/>
      <c r="J15" s="76"/>
      <c r="K15" s="76"/>
      <c r="L15" s="76"/>
      <c r="M15" s="76"/>
      <c r="N15" s="76"/>
      <c r="O15" s="76"/>
      <c r="P15" s="76"/>
      <c r="Q15" s="76"/>
      <c r="R15" s="76"/>
    </row>
    <row r="16" spans="1:86" x14ac:dyDescent="0.25">
      <c r="A16" s="1"/>
      <c r="B16" s="1" t="s">
        <v>10</v>
      </c>
      <c r="C16" s="12"/>
      <c r="D16" s="12">
        <f t="shared" ref="C16:F16" si="5">D11-D14</f>
        <v>34449</v>
      </c>
      <c r="E16" s="12">
        <f t="shared" si="5"/>
        <v>50654</v>
      </c>
      <c r="F16" s="12">
        <f t="shared" si="5"/>
        <v>69599</v>
      </c>
      <c r="G16" s="12">
        <f>G11-G14</f>
        <v>114856</v>
      </c>
      <c r="H16" s="12">
        <f>H11-H14</f>
        <v>183615</v>
      </c>
      <c r="I16" s="71">
        <f>I11*I17</f>
        <v>245707.5</v>
      </c>
      <c r="J16" s="72">
        <f t="shared" ref="J16:R16" si="6">J11*J17</f>
        <v>277389</v>
      </c>
      <c r="K16" s="72">
        <f t="shared" si="6"/>
        <v>300724.90000000002</v>
      </c>
      <c r="L16" s="72">
        <f t="shared" si="6"/>
        <v>333747.40000000002</v>
      </c>
      <c r="M16" s="72">
        <f t="shared" si="6"/>
        <v>396710.30000000005</v>
      </c>
      <c r="N16" s="72">
        <f t="shared" si="6"/>
        <v>457912</v>
      </c>
      <c r="O16" s="72">
        <f t="shared" si="6"/>
        <v>493136</v>
      </c>
      <c r="P16" s="72">
        <f t="shared" si="6"/>
        <v>523957.00000000006</v>
      </c>
      <c r="Q16" s="72">
        <f t="shared" si="6"/>
        <v>556704.3125</v>
      </c>
      <c r="R16" s="72">
        <f t="shared" si="6"/>
        <v>591498.33203125</v>
      </c>
    </row>
    <row r="17" spans="1:18" x14ac:dyDescent="0.25">
      <c r="A17" s="1"/>
      <c r="B17" s="68" t="s">
        <v>11</v>
      </c>
      <c r="C17" s="69"/>
      <c r="D17" s="69">
        <f t="shared" ref="D17:H17" si="7">D16/D11</f>
        <v>0.46151682006350225</v>
      </c>
      <c r="E17" s="69">
        <f t="shared" si="7"/>
        <v>0.47109482534131913</v>
      </c>
      <c r="F17" s="69">
        <f t="shared" si="7"/>
        <v>0.44436995607314334</v>
      </c>
      <c r="G17" s="69">
        <f t="shared" si="7"/>
        <v>0.44217731596798471</v>
      </c>
      <c r="H17" s="69">
        <f t="shared" si="7"/>
        <v>0.47222193646613447</v>
      </c>
      <c r="I17" s="86">
        <v>0.45250000000000001</v>
      </c>
      <c r="J17" s="87">
        <v>0.44030000000000002</v>
      </c>
      <c r="K17" s="87">
        <v>0.44030000000000002</v>
      </c>
      <c r="L17" s="87">
        <v>0.44030000000000002</v>
      </c>
      <c r="M17" s="87">
        <v>0.44030000000000002</v>
      </c>
      <c r="N17" s="87">
        <v>0.44030000000000002</v>
      </c>
      <c r="O17" s="87">
        <v>0.44030000000000002</v>
      </c>
      <c r="P17" s="87">
        <v>0.44030000000000002</v>
      </c>
      <c r="Q17" s="87">
        <v>0.44030000000000002</v>
      </c>
      <c r="R17" s="87">
        <v>0.44030000000000002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75"/>
      <c r="J18" s="76"/>
      <c r="K18" s="76"/>
      <c r="L18" s="76"/>
      <c r="M18" s="76"/>
      <c r="N18" s="76"/>
      <c r="O18" s="76"/>
      <c r="P18" s="76"/>
      <c r="Q18" s="76"/>
      <c r="R18" s="76"/>
    </row>
    <row r="19" spans="1:18" x14ac:dyDescent="0.25">
      <c r="A19" s="1"/>
      <c r="B19" s="1" t="s">
        <v>12</v>
      </c>
      <c r="C19" s="12"/>
      <c r="D19" s="12">
        <v>10380</v>
      </c>
      <c r="E19" s="12">
        <v>12900</v>
      </c>
      <c r="F19" s="12">
        <v>19119</v>
      </c>
      <c r="G19" s="12">
        <v>34207</v>
      </c>
      <c r="H19" s="12">
        <v>62226</v>
      </c>
      <c r="I19" s="71">
        <f>I20*I11</f>
        <v>86880</v>
      </c>
      <c r="J19" s="72">
        <f t="shared" ref="J19:R19" si="8">J20*J11</f>
        <v>98910</v>
      </c>
      <c r="K19" s="72">
        <f t="shared" si="8"/>
        <v>107231</v>
      </c>
      <c r="L19" s="72">
        <f t="shared" si="8"/>
        <v>119006</v>
      </c>
      <c r="M19" s="72">
        <f t="shared" si="8"/>
        <v>141457</v>
      </c>
      <c r="N19" s="72">
        <f t="shared" si="8"/>
        <v>163280</v>
      </c>
      <c r="O19" s="72">
        <f t="shared" si="8"/>
        <v>175840</v>
      </c>
      <c r="P19" s="72">
        <f t="shared" si="8"/>
        <v>186830</v>
      </c>
      <c r="Q19" s="72">
        <f t="shared" si="8"/>
        <v>198506.875</v>
      </c>
      <c r="R19" s="72">
        <f t="shared" si="8"/>
        <v>210913.5546875</v>
      </c>
    </row>
    <row r="20" spans="1:18" x14ac:dyDescent="0.25">
      <c r="A20" s="1"/>
      <c r="B20" s="68" t="s">
        <v>18</v>
      </c>
      <c r="C20" s="69"/>
      <c r="D20" s="69">
        <f t="shared" ref="D20:H20" si="9">D19/D11</f>
        <v>0.13906193480969414</v>
      </c>
      <c r="E20" s="69">
        <f t="shared" si="9"/>
        <v>0.11997321528216956</v>
      </c>
      <c r="F20" s="69">
        <f t="shared" si="9"/>
        <v>0.12206941464909593</v>
      </c>
      <c r="G20" s="69">
        <f t="shared" si="9"/>
        <v>0.13169150455628659</v>
      </c>
      <c r="H20" s="69">
        <f t="shared" si="9"/>
        <v>0.16003312484569171</v>
      </c>
      <c r="I20" s="73">
        <v>0.16</v>
      </c>
      <c r="J20" s="74">
        <v>0.157</v>
      </c>
      <c r="K20" s="74">
        <v>0.157</v>
      </c>
      <c r="L20" s="74">
        <v>0.157</v>
      </c>
      <c r="M20" s="74">
        <v>0.157</v>
      </c>
      <c r="N20" s="74">
        <v>0.157</v>
      </c>
      <c r="O20" s="74">
        <v>0.157</v>
      </c>
      <c r="P20" s="74">
        <v>0.157</v>
      </c>
      <c r="Q20" s="74">
        <v>0.157</v>
      </c>
      <c r="R20" s="74">
        <v>0.157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71"/>
      <c r="J21" s="72"/>
      <c r="K21" s="72"/>
      <c r="L21" s="72"/>
      <c r="M21" s="72"/>
      <c r="N21" s="72"/>
      <c r="O21" s="72"/>
      <c r="P21" s="72"/>
      <c r="Q21" s="72"/>
      <c r="R21" s="72"/>
    </row>
    <row r="22" spans="1:18" x14ac:dyDescent="0.25">
      <c r="A22" s="1"/>
      <c r="B22" s="1" t="s">
        <v>54</v>
      </c>
      <c r="C22" s="12"/>
      <c r="D22" s="12">
        <v>9611</v>
      </c>
      <c r="E22" s="12">
        <v>11902</v>
      </c>
      <c r="F22" s="12">
        <v>16773</v>
      </c>
      <c r="G22" s="12">
        <v>26733</v>
      </c>
      <c r="H22" s="12">
        <v>39889</v>
      </c>
      <c r="I22" s="71">
        <f>I23*I11</f>
        <v>57015</v>
      </c>
      <c r="J22" s="72">
        <f t="shared" ref="J22:R22" si="10">J23*J11</f>
        <v>64890</v>
      </c>
      <c r="K22" s="72">
        <f t="shared" si="10"/>
        <v>70349</v>
      </c>
      <c r="L22" s="72">
        <f t="shared" si="10"/>
        <v>78074</v>
      </c>
      <c r="M22" s="72">
        <f t="shared" si="10"/>
        <v>92803</v>
      </c>
      <c r="N22" s="72">
        <f t="shared" si="10"/>
        <v>107120</v>
      </c>
      <c r="O22" s="72">
        <f t="shared" si="10"/>
        <v>115360</v>
      </c>
      <c r="P22" s="72">
        <f t="shared" si="10"/>
        <v>122570</v>
      </c>
      <c r="Q22" s="72">
        <f t="shared" si="10"/>
        <v>130230.625</v>
      </c>
      <c r="R22" s="72">
        <f t="shared" si="10"/>
        <v>138370.0390625</v>
      </c>
    </row>
    <row r="23" spans="1:18" x14ac:dyDescent="0.25">
      <c r="A23" s="1"/>
      <c r="B23" s="68" t="s">
        <v>18</v>
      </c>
      <c r="C23" s="69"/>
      <c r="D23" s="69">
        <f t="shared" ref="D23:H23" si="11">D22/D11</f>
        <v>0.12875956218265611</v>
      </c>
      <c r="E23" s="69">
        <f t="shared" si="11"/>
        <v>0.11069156653398311</v>
      </c>
      <c r="F23" s="69">
        <f t="shared" si="11"/>
        <v>0.10709086730003065</v>
      </c>
      <c r="G23" s="69">
        <f t="shared" si="11"/>
        <v>0.10291779434920366</v>
      </c>
      <c r="H23" s="69">
        <f t="shared" si="11"/>
        <v>0.10258672125750967</v>
      </c>
      <c r="I23" s="73">
        <v>0.105</v>
      </c>
      <c r="J23" s="74">
        <v>0.10299999999999999</v>
      </c>
      <c r="K23" s="74">
        <v>0.10299999999999999</v>
      </c>
      <c r="L23" s="74">
        <v>0.10299999999999999</v>
      </c>
      <c r="M23" s="74">
        <v>0.10299999999999999</v>
      </c>
      <c r="N23" s="74">
        <v>0.10299999999999999</v>
      </c>
      <c r="O23" s="74">
        <v>0.10299999999999999</v>
      </c>
      <c r="P23" s="74">
        <v>0.10299999999999999</v>
      </c>
      <c r="Q23" s="74">
        <v>0.10299999999999999</v>
      </c>
      <c r="R23" s="74">
        <v>0.10299999999999999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71"/>
      <c r="J24" s="72"/>
      <c r="K24" s="72"/>
      <c r="L24" s="72"/>
      <c r="M24" s="72"/>
      <c r="N24" s="72"/>
      <c r="O24" s="72"/>
      <c r="P24" s="72"/>
      <c r="Q24" s="72"/>
      <c r="R24" s="72"/>
    </row>
    <row r="25" spans="1:18" x14ac:dyDescent="0.25">
      <c r="A25" s="1"/>
      <c r="B25" s="1" t="s">
        <v>55</v>
      </c>
      <c r="C25" s="12"/>
      <c r="D25" s="12">
        <v>7987</v>
      </c>
      <c r="E25" s="12">
        <v>8061</v>
      </c>
      <c r="F25" s="12">
        <v>12215</v>
      </c>
      <c r="G25" s="12">
        <v>15214</v>
      </c>
      <c r="H25" s="12">
        <v>22465</v>
      </c>
      <c r="I25" s="81">
        <f t="shared" ref="I25:R25" si="12">I26*I11</f>
        <v>38010</v>
      </c>
      <c r="J25" s="82">
        <f t="shared" si="12"/>
        <v>42840</v>
      </c>
      <c r="K25" s="82">
        <f t="shared" si="12"/>
        <v>46444</v>
      </c>
      <c r="L25" s="82">
        <f t="shared" si="12"/>
        <v>51544.000000000007</v>
      </c>
      <c r="M25" s="82">
        <f t="shared" si="12"/>
        <v>61268.000000000007</v>
      </c>
      <c r="N25" s="82">
        <f t="shared" si="12"/>
        <v>70720</v>
      </c>
      <c r="O25" s="82">
        <f t="shared" si="12"/>
        <v>76160</v>
      </c>
      <c r="P25" s="82">
        <f t="shared" si="12"/>
        <v>80920</v>
      </c>
      <c r="Q25" s="82">
        <f t="shared" si="12"/>
        <v>85977.5</v>
      </c>
      <c r="R25" s="82">
        <f t="shared" si="12"/>
        <v>91351.09375</v>
      </c>
    </row>
    <row r="26" spans="1:18" x14ac:dyDescent="0.25">
      <c r="A26" s="1"/>
      <c r="B26" s="68" t="s">
        <v>18</v>
      </c>
      <c r="C26" s="69"/>
      <c r="D26" s="69">
        <f t="shared" ref="C26:H26" si="13">D25/D11</f>
        <v>0.1070026660236057</v>
      </c>
      <c r="E26" s="69">
        <f t="shared" si="13"/>
        <v>7.4969309177485954E-2</v>
      </c>
      <c r="F26" s="69">
        <f t="shared" si="13"/>
        <v>7.7989324752272965E-2</v>
      </c>
      <c r="G26" s="69">
        <f t="shared" si="13"/>
        <v>5.857147806938183E-2</v>
      </c>
      <c r="H26" s="69">
        <f t="shared" si="13"/>
        <v>5.7775594601267383E-2</v>
      </c>
      <c r="I26" s="73">
        <v>7.0000000000000007E-2</v>
      </c>
      <c r="J26" s="74">
        <v>6.8000000000000005E-2</v>
      </c>
      <c r="K26" s="74">
        <v>6.8000000000000005E-2</v>
      </c>
      <c r="L26" s="74">
        <v>6.8000000000000005E-2</v>
      </c>
      <c r="M26" s="74">
        <v>6.8000000000000005E-2</v>
      </c>
      <c r="N26" s="74">
        <v>6.8000000000000005E-2</v>
      </c>
      <c r="O26" s="74">
        <v>6.8000000000000005E-2</v>
      </c>
      <c r="P26" s="74">
        <v>6.8000000000000005E-2</v>
      </c>
      <c r="Q26" s="74">
        <v>6.8000000000000005E-2</v>
      </c>
      <c r="R26" s="74">
        <v>6.8000000000000005E-2</v>
      </c>
    </row>
    <row r="27" spans="1:18" x14ac:dyDescent="0.25">
      <c r="A27" s="1"/>
      <c r="B27" s="14"/>
      <c r="C27" s="12"/>
      <c r="D27" s="12"/>
      <c r="E27" s="12"/>
      <c r="F27" s="12"/>
      <c r="G27" s="12"/>
      <c r="H27" s="12"/>
      <c r="I27" s="81"/>
      <c r="J27" s="82"/>
      <c r="K27" s="82"/>
      <c r="L27" s="82"/>
      <c r="M27" s="82"/>
      <c r="N27" s="82"/>
      <c r="O27" s="82"/>
      <c r="P27" s="82"/>
      <c r="Q27" s="82"/>
      <c r="R27" s="82"/>
    </row>
    <row r="28" spans="1:18" x14ac:dyDescent="0.25">
      <c r="A28" s="1"/>
      <c r="B28" s="1" t="s">
        <v>15</v>
      </c>
      <c r="C28" s="12"/>
      <c r="D28" s="12">
        <f t="shared" ref="C28:E28" si="14">D36-D16+D31</f>
        <v>909</v>
      </c>
      <c r="E28" s="12">
        <f t="shared" si="14"/>
        <v>1149</v>
      </c>
      <c r="F28" s="12">
        <f>F36-F16+F31</f>
        <v>-2197</v>
      </c>
      <c r="G28" s="12">
        <f>G36-G16+G31</f>
        <v>4353</v>
      </c>
      <c r="H28" s="12">
        <f>H36-H16+H31</f>
        <v>8327</v>
      </c>
      <c r="I28" s="81">
        <f t="shared" ref="I28:R28" si="15">I29*I11</f>
        <v>5105.3407993823012</v>
      </c>
      <c r="J28" s="82">
        <f t="shared" si="15"/>
        <v>5573.5644377106019</v>
      </c>
      <c r="K28" s="82">
        <f t="shared" si="15"/>
        <v>5791.2361855172894</v>
      </c>
      <c r="L28" s="82">
        <f t="shared" si="15"/>
        <v>9839.131081458323</v>
      </c>
      <c r="M28" s="82">
        <f t="shared" si="15"/>
        <v>11014.535255334289</v>
      </c>
      <c r="N28" s="82">
        <f t="shared" si="15"/>
        <v>10802.130134732068</v>
      </c>
      <c r="O28" s="82">
        <f t="shared" si="15"/>
        <v>11853.605260416285</v>
      </c>
      <c r="P28" s="82">
        <f t="shared" si="15"/>
        <v>13007.777919451204</v>
      </c>
      <c r="Q28" s="82">
        <f t="shared" si="15"/>
        <v>14440.76040452915</v>
      </c>
      <c r="R28" s="82">
        <f t="shared" si="15"/>
        <v>14924.403995672079</v>
      </c>
    </row>
    <row r="29" spans="1:18" x14ac:dyDescent="0.25">
      <c r="A29" s="1"/>
      <c r="B29" s="68" t="s">
        <v>18</v>
      </c>
      <c r="C29" s="69"/>
      <c r="D29" s="69">
        <f t="shared" ref="C29:H29" si="16">D28/D11</f>
        <v>1.2177967123507898E-2</v>
      </c>
      <c r="E29" s="69">
        <f t="shared" si="16"/>
        <v>1.0685986384435103E-2</v>
      </c>
      <c r="F29" s="69">
        <f t="shared" ref="F29" si="17">F28/F11</f>
        <v>-1.4027224435590969E-2</v>
      </c>
      <c r="G29" s="69">
        <f t="shared" ref="G29" si="18">G28/G11</f>
        <v>1.6758357041936317E-2</v>
      </c>
      <c r="H29" s="69">
        <f t="shared" ref="H29" si="19">H28/H11</f>
        <v>2.1415418484075386E-2</v>
      </c>
      <c r="I29" s="73">
        <f>AVERAGE(D29:H29)</f>
        <v>9.402100919672746E-3</v>
      </c>
      <c r="J29" s="74">
        <f t="shared" ref="J29:R29" si="20">AVERAGE(E29:I29)</f>
        <v>8.8469276789057173E-3</v>
      </c>
      <c r="K29" s="74">
        <f t="shared" si="20"/>
        <v>8.4791159377998384E-3</v>
      </c>
      <c r="L29" s="74">
        <f t="shared" si="20"/>
        <v>1.2980384012477999E-2</v>
      </c>
      <c r="M29" s="74">
        <f t="shared" si="20"/>
        <v>1.2224789406586337E-2</v>
      </c>
      <c r="N29" s="74">
        <f t="shared" si="20"/>
        <v>1.0386663591088526E-2</v>
      </c>
      <c r="O29" s="74">
        <f t="shared" si="20"/>
        <v>1.0583576125371683E-2</v>
      </c>
      <c r="P29" s="74">
        <f t="shared" si="20"/>
        <v>1.0930905814664877E-2</v>
      </c>
      <c r="Q29" s="74">
        <f t="shared" si="20"/>
        <v>1.1421263790037885E-2</v>
      </c>
      <c r="R29" s="74">
        <f t="shared" si="20"/>
        <v>1.110943974554986E-2</v>
      </c>
    </row>
    <row r="30" spans="1:18" x14ac:dyDescent="0.25">
      <c r="A30" s="1"/>
      <c r="B30" s="1"/>
      <c r="C30" s="1"/>
      <c r="D30" s="1"/>
      <c r="E30" s="1"/>
      <c r="F30" s="12"/>
      <c r="G30" s="12"/>
      <c r="H30" s="12"/>
      <c r="I30" s="75"/>
      <c r="J30" s="76"/>
      <c r="K30" s="76"/>
      <c r="L30" s="76"/>
      <c r="M30" s="76"/>
      <c r="N30" s="76"/>
      <c r="O30" s="76"/>
      <c r="P30" s="76"/>
      <c r="Q30" s="76"/>
      <c r="R30" s="76"/>
    </row>
    <row r="31" spans="1:18" x14ac:dyDescent="0.25">
      <c r="A31" s="1"/>
      <c r="B31" s="1" t="s">
        <v>13</v>
      </c>
      <c r="C31" s="12"/>
      <c r="D31" s="12">
        <f t="shared" ref="C31:R31" si="21">D19+D22+D25</f>
        <v>27978</v>
      </c>
      <c r="E31" s="12">
        <f t="shared" si="21"/>
        <v>32863</v>
      </c>
      <c r="F31" s="12">
        <f t="shared" si="21"/>
        <v>48107</v>
      </c>
      <c r="G31" s="12">
        <f t="shared" si="21"/>
        <v>76154</v>
      </c>
      <c r="H31" s="12">
        <f>H19+H22+H25</f>
        <v>124580</v>
      </c>
      <c r="I31" s="81">
        <f t="shared" si="21"/>
        <v>181905</v>
      </c>
      <c r="J31" s="82">
        <f t="shared" si="21"/>
        <v>206640</v>
      </c>
      <c r="K31" s="82">
        <f t="shared" si="21"/>
        <v>224024</v>
      </c>
      <c r="L31" s="82">
        <f t="shared" si="21"/>
        <v>248624</v>
      </c>
      <c r="M31" s="82">
        <f t="shared" si="21"/>
        <v>295528</v>
      </c>
      <c r="N31" s="82">
        <f t="shared" si="21"/>
        <v>341120</v>
      </c>
      <c r="O31" s="82">
        <f t="shared" si="21"/>
        <v>367360</v>
      </c>
      <c r="P31" s="82">
        <f t="shared" si="21"/>
        <v>390320</v>
      </c>
      <c r="Q31" s="82">
        <f t="shared" si="21"/>
        <v>414715</v>
      </c>
      <c r="R31" s="82">
        <f t="shared" si="21"/>
        <v>440634.6875</v>
      </c>
    </row>
    <row r="32" spans="1:18" x14ac:dyDescent="0.25">
      <c r="A32" s="1"/>
      <c r="B32" s="68" t="s">
        <v>18</v>
      </c>
      <c r="C32" s="69"/>
      <c r="D32" s="69">
        <f t="shared" ref="C32:R32" si="22">D31/D11</f>
        <v>0.37482416301595595</v>
      </c>
      <c r="E32" s="69">
        <f t="shared" si="22"/>
        <v>0.30563409099363864</v>
      </c>
      <c r="F32" s="69">
        <f t="shared" si="22"/>
        <v>0.30714960670139951</v>
      </c>
      <c r="G32" s="69">
        <f t="shared" si="22"/>
        <v>0.2931807769748721</v>
      </c>
      <c r="H32" s="69">
        <f t="shared" si="22"/>
        <v>0.32039544070446879</v>
      </c>
      <c r="I32" s="73">
        <f t="shared" si="22"/>
        <v>0.33500000000000002</v>
      </c>
      <c r="J32" s="74">
        <f t="shared" si="22"/>
        <v>0.32800000000000001</v>
      </c>
      <c r="K32" s="74">
        <f t="shared" si="22"/>
        <v>0.32800000000000001</v>
      </c>
      <c r="L32" s="74">
        <f t="shared" si="22"/>
        <v>0.32800000000000001</v>
      </c>
      <c r="M32" s="74">
        <f t="shared" si="22"/>
        <v>0.32800000000000001</v>
      </c>
      <c r="N32" s="74">
        <f t="shared" si="22"/>
        <v>0.32800000000000001</v>
      </c>
      <c r="O32" s="74">
        <f t="shared" si="22"/>
        <v>0.32800000000000001</v>
      </c>
      <c r="P32" s="74">
        <f t="shared" si="22"/>
        <v>0.32800000000000001</v>
      </c>
      <c r="Q32" s="74">
        <f t="shared" si="22"/>
        <v>0.32800000000000001</v>
      </c>
      <c r="R32" s="74">
        <f t="shared" si="22"/>
        <v>0.32800000000000001</v>
      </c>
    </row>
    <row r="33" spans="1:86" x14ac:dyDescent="0.25">
      <c r="A33" s="1"/>
      <c r="B33" s="1"/>
      <c r="C33" s="15"/>
      <c r="D33" s="15"/>
      <c r="E33" s="15"/>
      <c r="F33" s="15"/>
      <c r="G33" s="15"/>
      <c r="H33" s="15"/>
      <c r="I33" s="79"/>
      <c r="J33" s="80"/>
      <c r="K33" s="80"/>
      <c r="L33" s="80"/>
      <c r="M33" s="80"/>
      <c r="N33" s="80"/>
      <c r="O33" s="80"/>
      <c r="P33" s="80"/>
      <c r="Q33" s="80"/>
      <c r="R33" s="80"/>
    </row>
    <row r="34" spans="1:86" x14ac:dyDescent="0.25">
      <c r="A34" s="1"/>
      <c r="B34" s="1" t="s">
        <v>14</v>
      </c>
      <c r="C34" s="12"/>
      <c r="D34" s="12">
        <f t="shared" ref="C34:R34" si="23">D16-D19-D22-D25</f>
        <v>6471</v>
      </c>
      <c r="E34" s="12">
        <f>E16-E19-E22-E25</f>
        <v>17791</v>
      </c>
      <c r="F34" s="12">
        <f t="shared" ref="F34:H34" si="24">F16-F19-F22-F25</f>
        <v>21492</v>
      </c>
      <c r="G34" s="12">
        <f t="shared" si="24"/>
        <v>38702</v>
      </c>
      <c r="H34" s="12">
        <f t="shared" si="24"/>
        <v>59035</v>
      </c>
      <c r="I34" s="81">
        <f>I16-I19-I22-I25</f>
        <v>63802.5</v>
      </c>
      <c r="J34" s="82">
        <f t="shared" si="23"/>
        <v>70749</v>
      </c>
      <c r="K34" s="82">
        <f t="shared" si="23"/>
        <v>76700.900000000023</v>
      </c>
      <c r="L34" s="82">
        <f t="shared" si="23"/>
        <v>85123.400000000023</v>
      </c>
      <c r="M34" s="82">
        <f t="shared" si="23"/>
        <v>101182.30000000005</v>
      </c>
      <c r="N34" s="82">
        <f t="shared" si="23"/>
        <v>116792</v>
      </c>
      <c r="O34" s="82">
        <f t="shared" si="23"/>
        <v>125776</v>
      </c>
      <c r="P34" s="82">
        <f t="shared" si="23"/>
        <v>133637.00000000006</v>
      </c>
      <c r="Q34" s="82">
        <f t="shared" si="23"/>
        <v>141989.3125</v>
      </c>
      <c r="R34" s="82">
        <f t="shared" si="23"/>
        <v>150863.64453125</v>
      </c>
    </row>
    <row r="35" spans="1:86" x14ac:dyDescent="0.25">
      <c r="A35" s="1"/>
      <c r="B35" s="1"/>
      <c r="C35" s="20"/>
      <c r="D35" s="20"/>
      <c r="E35" s="20"/>
      <c r="F35" s="20"/>
      <c r="G35" s="20"/>
      <c r="H35" s="20"/>
      <c r="I35" s="75"/>
      <c r="J35" s="76"/>
      <c r="K35" s="76"/>
      <c r="L35" s="76"/>
      <c r="M35" s="76"/>
      <c r="N35" s="76"/>
      <c r="O35" s="76"/>
      <c r="P35" s="76"/>
      <c r="Q35" s="76"/>
      <c r="R35" s="76"/>
    </row>
    <row r="36" spans="1:86" x14ac:dyDescent="0.25">
      <c r="A36" s="1"/>
      <c r="B36" s="1" t="s">
        <v>16</v>
      </c>
      <c r="C36" s="12"/>
      <c r="D36" s="12">
        <v>7380</v>
      </c>
      <c r="E36" s="12">
        <v>18940</v>
      </c>
      <c r="F36" s="12">
        <v>19295</v>
      </c>
      <c r="G36" s="12">
        <v>43055</v>
      </c>
      <c r="H36" s="12">
        <v>67362</v>
      </c>
      <c r="I36" s="81">
        <f>I34+I28</f>
        <v>68907.840799382306</v>
      </c>
      <c r="J36" s="82">
        <f t="shared" ref="J36:R36" si="25">J34+J28</f>
        <v>76322.564437710607</v>
      </c>
      <c r="K36" s="82">
        <f t="shared" si="25"/>
        <v>82492.136185517316</v>
      </c>
      <c r="L36" s="82">
        <f t="shared" si="25"/>
        <v>94962.53108145835</v>
      </c>
      <c r="M36" s="82">
        <f t="shared" si="25"/>
        <v>112196.83525533433</v>
      </c>
      <c r="N36" s="82">
        <f t="shared" si="25"/>
        <v>127594.13013473207</v>
      </c>
      <c r="O36" s="82">
        <f t="shared" si="25"/>
        <v>137629.60526041628</v>
      </c>
      <c r="P36" s="82">
        <f t="shared" si="25"/>
        <v>146644.77791945127</v>
      </c>
      <c r="Q36" s="82">
        <f t="shared" si="25"/>
        <v>156430.07290452914</v>
      </c>
      <c r="R36" s="82">
        <f t="shared" si="25"/>
        <v>165788.04852692207</v>
      </c>
    </row>
    <row r="37" spans="1:86" x14ac:dyDescent="0.25">
      <c r="A37" s="1"/>
      <c r="B37" s="1"/>
      <c r="C37" s="20"/>
      <c r="D37" s="20"/>
      <c r="E37" s="20"/>
      <c r="F37" s="20"/>
      <c r="G37" s="20"/>
      <c r="H37" s="20"/>
      <c r="I37" s="75"/>
      <c r="J37" s="76"/>
      <c r="K37" s="76"/>
      <c r="L37" s="76"/>
      <c r="M37" s="76"/>
      <c r="N37" s="76"/>
      <c r="O37" s="76"/>
      <c r="P37" s="76"/>
      <c r="Q37" s="76"/>
      <c r="R37" s="76"/>
    </row>
    <row r="38" spans="1:86" x14ac:dyDescent="0.25">
      <c r="A38" s="1"/>
      <c r="B38" s="1" t="s">
        <v>17</v>
      </c>
      <c r="C38" s="12"/>
      <c r="D38" s="12">
        <f t="shared" ref="C38:H38" si="26">D34</f>
        <v>6471</v>
      </c>
      <c r="E38" s="12">
        <f t="shared" si="26"/>
        <v>17791</v>
      </c>
      <c r="F38" s="12">
        <f>F28</f>
        <v>-2197</v>
      </c>
      <c r="G38" s="12">
        <f>G28</f>
        <v>4353</v>
      </c>
      <c r="H38" s="12">
        <f>H28</f>
        <v>8327</v>
      </c>
      <c r="I38" s="81">
        <f t="shared" ref="I38:R38" si="27">I28</f>
        <v>5105.3407993823012</v>
      </c>
      <c r="J38" s="82">
        <f t="shared" si="27"/>
        <v>5573.5644377106019</v>
      </c>
      <c r="K38" s="82">
        <f t="shared" si="27"/>
        <v>5791.2361855172894</v>
      </c>
      <c r="L38" s="82">
        <f t="shared" si="27"/>
        <v>9839.131081458323</v>
      </c>
      <c r="M38" s="82">
        <f t="shared" si="27"/>
        <v>11014.535255334289</v>
      </c>
      <c r="N38" s="82">
        <f t="shared" si="27"/>
        <v>10802.130134732068</v>
      </c>
      <c r="O38" s="82">
        <f t="shared" si="27"/>
        <v>11853.605260416285</v>
      </c>
      <c r="P38" s="82">
        <f t="shared" si="27"/>
        <v>13007.777919451204</v>
      </c>
      <c r="Q38" s="82">
        <f t="shared" si="27"/>
        <v>14440.76040452915</v>
      </c>
      <c r="R38" s="82">
        <f t="shared" si="27"/>
        <v>14924.403995672079</v>
      </c>
    </row>
    <row r="39" spans="1:86" x14ac:dyDescent="0.25">
      <c r="A39" s="1"/>
      <c r="B39" s="68" t="s">
        <v>18</v>
      </c>
      <c r="C39" s="69"/>
      <c r="D39" s="69">
        <f t="shared" ref="C39:H39" si="28">D38/D11</f>
        <v>8.669265704754632E-2</v>
      </c>
      <c r="E39" s="69">
        <f t="shared" si="28"/>
        <v>0.16546073434768052</v>
      </c>
      <c r="F39" s="69">
        <f t="shared" si="28"/>
        <v>-1.4027224435590969E-2</v>
      </c>
      <c r="G39" s="69">
        <f t="shared" si="28"/>
        <v>1.6758357041936317E-2</v>
      </c>
      <c r="H39" s="69">
        <f t="shared" si="28"/>
        <v>2.1415418484075386E-2</v>
      </c>
      <c r="I39" s="73">
        <f>I38/I11</f>
        <v>9.402100919672746E-3</v>
      </c>
      <c r="J39" s="74">
        <f t="shared" ref="J39:R39" si="29">J38/J11</f>
        <v>8.8469276789057173E-3</v>
      </c>
      <c r="K39" s="74">
        <f t="shared" si="29"/>
        <v>8.4791159377998384E-3</v>
      </c>
      <c r="L39" s="74">
        <f t="shared" si="29"/>
        <v>1.2980384012477999E-2</v>
      </c>
      <c r="M39" s="74">
        <f t="shared" si="29"/>
        <v>1.2224789406586336E-2</v>
      </c>
      <c r="N39" s="74">
        <f t="shared" si="29"/>
        <v>1.0386663591088526E-2</v>
      </c>
      <c r="O39" s="74">
        <f t="shared" si="29"/>
        <v>1.0583576125371683E-2</v>
      </c>
      <c r="P39" s="74">
        <f t="shared" si="29"/>
        <v>1.0930905814664877E-2</v>
      </c>
      <c r="Q39" s="74">
        <f t="shared" si="29"/>
        <v>1.1421263790037885E-2</v>
      </c>
      <c r="R39" s="74">
        <f t="shared" si="29"/>
        <v>1.110943974554986E-2</v>
      </c>
    </row>
    <row r="40" spans="1:86" x14ac:dyDescent="0.25">
      <c r="A40" s="1"/>
      <c r="B40" s="14"/>
      <c r="C40" s="1"/>
      <c r="D40" s="1"/>
      <c r="F40" s="1"/>
      <c r="G40" s="1"/>
      <c r="H40" s="1"/>
      <c r="I40" s="75"/>
      <c r="J40" s="76"/>
      <c r="K40" s="76"/>
      <c r="L40" s="76"/>
      <c r="M40" s="76"/>
      <c r="N40" s="76"/>
      <c r="O40" s="76"/>
      <c r="P40" s="76"/>
      <c r="Q40" s="76"/>
      <c r="R40" s="76"/>
    </row>
    <row r="41" spans="1:86" x14ac:dyDescent="0.25">
      <c r="A41" s="1"/>
      <c r="B41" s="1" t="s">
        <v>19</v>
      </c>
      <c r="C41" s="12"/>
      <c r="D41" s="12">
        <v>-806</v>
      </c>
      <c r="E41" s="21">
        <v>518</v>
      </c>
      <c r="F41" s="12">
        <v>2382</v>
      </c>
      <c r="G41" s="12">
        <v>-134</v>
      </c>
      <c r="H41" s="19">
        <v>-16798</v>
      </c>
      <c r="I41" s="71">
        <f>I42*I38</f>
        <v>-1033.831511874916</v>
      </c>
      <c r="J41" s="72">
        <f t="shared" ref="J41:R41" si="30">J42*J38</f>
        <v>-1128.6467986363969</v>
      </c>
      <c r="K41" s="72">
        <f t="shared" si="30"/>
        <v>-1172.7253275672513</v>
      </c>
      <c r="L41" s="72">
        <f t="shared" si="30"/>
        <v>-1992.4240439953105</v>
      </c>
      <c r="M41" s="72">
        <f t="shared" si="30"/>
        <v>-2230.4433892051939</v>
      </c>
      <c r="N41" s="72">
        <f t="shared" si="30"/>
        <v>-2187.431352283244</v>
      </c>
      <c r="O41" s="72">
        <f t="shared" si="30"/>
        <v>-2400.3550652342979</v>
      </c>
      <c r="P41" s="72">
        <f t="shared" si="30"/>
        <v>-2634.0750286888692</v>
      </c>
      <c r="Q41" s="72">
        <f t="shared" si="30"/>
        <v>-2924.2539819171529</v>
      </c>
      <c r="R41" s="72">
        <f t="shared" si="30"/>
        <v>-3022.1918091235962</v>
      </c>
    </row>
    <row r="42" spans="1:86" x14ac:dyDescent="0.25">
      <c r="A42" s="1"/>
      <c r="B42" s="68" t="s">
        <v>20</v>
      </c>
      <c r="C42" s="70"/>
      <c r="D42" s="70">
        <f t="shared" ref="D42:G42" si="31">D41/D38</f>
        <v>-0.12455571009117601</v>
      </c>
      <c r="E42" s="70">
        <f t="shared" si="31"/>
        <v>2.9115845090214153E-2</v>
      </c>
      <c r="F42" s="70">
        <f>F41/F38</f>
        <v>-1.084205735093309</v>
      </c>
      <c r="G42" s="70">
        <f t="shared" si="31"/>
        <v>-3.078336779232713E-2</v>
      </c>
      <c r="H42" s="70">
        <f>H41/H38</f>
        <v>-2.0172931427885192</v>
      </c>
      <c r="I42" s="88">
        <v>-0.20250000000000001</v>
      </c>
      <c r="J42" s="89">
        <v>-0.20250000000000001</v>
      </c>
      <c r="K42" s="89">
        <v>-0.20250000000000001</v>
      </c>
      <c r="L42" s="89">
        <v>-0.20250000000000001</v>
      </c>
      <c r="M42" s="89">
        <v>-0.20250000000000001</v>
      </c>
      <c r="N42" s="89">
        <v>-0.20250000000000001</v>
      </c>
      <c r="O42" s="89">
        <v>-0.20250000000000001</v>
      </c>
      <c r="P42" s="89">
        <v>-0.20250000000000001</v>
      </c>
      <c r="Q42" s="89">
        <v>-0.20250000000000001</v>
      </c>
      <c r="R42" s="89">
        <v>-0.20250000000000001</v>
      </c>
    </row>
    <row r="43" spans="1:86" x14ac:dyDescent="0.25">
      <c r="A43" s="1"/>
      <c r="B43" s="1"/>
      <c r="C43" s="1"/>
      <c r="D43" s="1"/>
      <c r="E43" s="1"/>
      <c r="F43" s="1"/>
      <c r="G43" s="1"/>
      <c r="H43" s="1"/>
      <c r="I43" s="75"/>
      <c r="J43" s="76"/>
      <c r="K43" s="76"/>
      <c r="L43" s="76"/>
      <c r="M43" s="76"/>
      <c r="N43" s="76"/>
      <c r="O43" s="76"/>
      <c r="P43" s="76"/>
      <c r="Q43" s="76"/>
      <c r="R43" s="76"/>
    </row>
    <row r="44" spans="1:86" x14ac:dyDescent="0.25">
      <c r="A44" s="1"/>
      <c r="B44" s="10" t="s">
        <v>21</v>
      </c>
      <c r="C44" s="10">
        <v>2017</v>
      </c>
      <c r="D44" s="10">
        <f>C44+1</f>
        <v>2018</v>
      </c>
      <c r="E44" s="10">
        <f>D44+1</f>
        <v>2019</v>
      </c>
      <c r="F44" s="10">
        <v>2020</v>
      </c>
      <c r="G44" s="10">
        <v>2021</v>
      </c>
      <c r="H44" s="10">
        <v>2022</v>
      </c>
      <c r="I44" s="83">
        <v>2023</v>
      </c>
      <c r="J44" s="84">
        <v>2024</v>
      </c>
      <c r="K44" s="84">
        <v>2025</v>
      </c>
      <c r="L44" s="84">
        <v>2026</v>
      </c>
      <c r="M44" s="84">
        <v>2027</v>
      </c>
      <c r="N44" s="84">
        <v>2028</v>
      </c>
      <c r="O44" s="84">
        <v>2029</v>
      </c>
      <c r="P44" s="84">
        <v>2030</v>
      </c>
      <c r="Q44" s="84">
        <v>2031</v>
      </c>
      <c r="R44" s="84">
        <v>2032</v>
      </c>
      <c r="S44" s="10">
        <v>2033</v>
      </c>
      <c r="T44" s="10">
        <v>2034</v>
      </c>
      <c r="U44" s="10">
        <v>2035</v>
      </c>
      <c r="V44" s="10">
        <v>2036</v>
      </c>
      <c r="W44" s="10">
        <v>2037</v>
      </c>
      <c r="X44" s="10">
        <v>2038</v>
      </c>
      <c r="Y44" s="10">
        <v>2039</v>
      </c>
      <c r="Z44" s="10">
        <v>2040</v>
      </c>
      <c r="AA44" s="10">
        <v>2041</v>
      </c>
      <c r="AB44" s="10">
        <v>2042</v>
      </c>
      <c r="AC44" s="10">
        <v>2043</v>
      </c>
      <c r="AD44" s="10">
        <v>2044</v>
      </c>
      <c r="AE44" s="10">
        <v>2045</v>
      </c>
      <c r="AF44" s="10">
        <v>2046</v>
      </c>
      <c r="AG44" s="10">
        <v>2047</v>
      </c>
      <c r="AH44" s="10">
        <v>2048</v>
      </c>
      <c r="AI44" s="10">
        <v>2049</v>
      </c>
      <c r="AJ44" s="10">
        <v>2050</v>
      </c>
      <c r="AK44" s="10">
        <v>2051</v>
      </c>
      <c r="AL44" s="10">
        <v>2052</v>
      </c>
      <c r="AM44" s="10">
        <v>2053</v>
      </c>
      <c r="AN44" s="10">
        <v>2054</v>
      </c>
      <c r="AO44" s="10">
        <v>2055</v>
      </c>
      <c r="AP44" s="10">
        <v>2056</v>
      </c>
      <c r="AQ44" s="10">
        <v>2057</v>
      </c>
      <c r="AR44" s="10">
        <v>2058</v>
      </c>
      <c r="AS44" s="10">
        <v>2059</v>
      </c>
      <c r="AT44" s="10">
        <v>2060</v>
      </c>
      <c r="AU44" s="10">
        <v>2061</v>
      </c>
      <c r="AV44" s="10">
        <v>2062</v>
      </c>
      <c r="AW44" s="10">
        <v>2063</v>
      </c>
      <c r="AX44" s="10">
        <v>2064</v>
      </c>
      <c r="AY44" s="10">
        <v>2065</v>
      </c>
      <c r="AZ44" s="10">
        <v>2066</v>
      </c>
      <c r="BA44" s="10">
        <v>2067</v>
      </c>
      <c r="BB44" s="10">
        <v>2068</v>
      </c>
      <c r="BC44" s="10">
        <v>2069</v>
      </c>
      <c r="BD44" s="10">
        <v>2070</v>
      </c>
      <c r="BE44" s="10">
        <v>2071</v>
      </c>
      <c r="BF44" s="10">
        <v>2072</v>
      </c>
      <c r="BG44" s="10">
        <v>2073</v>
      </c>
      <c r="BH44" s="10">
        <v>2074</v>
      </c>
      <c r="BI44" s="10">
        <v>2075</v>
      </c>
      <c r="BJ44" s="10">
        <v>2076</v>
      </c>
      <c r="BK44" s="10">
        <v>2077</v>
      </c>
      <c r="BL44" s="10">
        <v>2078</v>
      </c>
      <c r="BM44" s="10">
        <v>2079</v>
      </c>
      <c r="BN44" s="10">
        <v>2080</v>
      </c>
      <c r="BO44" s="10">
        <v>2081</v>
      </c>
      <c r="BP44" s="10">
        <v>2082</v>
      </c>
      <c r="BQ44" s="10">
        <v>2083</v>
      </c>
      <c r="BR44" s="10">
        <v>2084</v>
      </c>
      <c r="BS44" s="10">
        <v>2085</v>
      </c>
      <c r="BT44" s="10">
        <v>2086</v>
      </c>
      <c r="BU44" s="10">
        <v>2087</v>
      </c>
      <c r="BV44" s="10">
        <v>2088</v>
      </c>
      <c r="BW44" s="10">
        <v>2089</v>
      </c>
      <c r="BX44" s="10">
        <v>2090</v>
      </c>
      <c r="BY44" s="10">
        <v>2091</v>
      </c>
      <c r="BZ44" s="10">
        <v>2092</v>
      </c>
      <c r="CA44" s="10">
        <v>2093</v>
      </c>
      <c r="CB44" s="10">
        <v>2094</v>
      </c>
      <c r="CC44" s="10">
        <v>2095</v>
      </c>
      <c r="CD44" s="10">
        <v>2096</v>
      </c>
      <c r="CE44" s="10">
        <v>2097</v>
      </c>
      <c r="CF44" s="10">
        <v>2098</v>
      </c>
      <c r="CG44" s="10">
        <v>2099</v>
      </c>
      <c r="CH44" s="10">
        <v>2100</v>
      </c>
    </row>
    <row r="45" spans="1:86" x14ac:dyDescent="0.25">
      <c r="A45" s="1"/>
      <c r="B45" s="1" t="s">
        <v>22</v>
      </c>
      <c r="C45" s="12"/>
      <c r="D45" s="12">
        <v>417</v>
      </c>
      <c r="E45" s="21">
        <v>788</v>
      </c>
      <c r="F45" s="12">
        <v>1055</v>
      </c>
      <c r="G45" s="12">
        <v>2353</v>
      </c>
      <c r="H45" s="12">
        <v>5366</v>
      </c>
      <c r="I45" s="71">
        <f>I46*I11</f>
        <v>1270</v>
      </c>
      <c r="J45" s="72">
        <f t="shared" ref="J45:R45" si="32">J46*J11</f>
        <v>2100</v>
      </c>
      <c r="K45" s="72">
        <f t="shared" si="32"/>
        <v>2276.666666666667</v>
      </c>
      <c r="L45" s="72">
        <f t="shared" si="32"/>
        <v>2526.666666666667</v>
      </c>
      <c r="M45" s="72">
        <f t="shared" si="32"/>
        <v>3003.3333333333335</v>
      </c>
      <c r="N45" s="72">
        <f t="shared" si="32"/>
        <v>3466.666666666667</v>
      </c>
      <c r="O45" s="72">
        <f t="shared" si="32"/>
        <v>3733.3333333333335</v>
      </c>
      <c r="P45" s="72">
        <f t="shared" si="32"/>
        <v>3966.666666666667</v>
      </c>
      <c r="Q45" s="72">
        <f t="shared" si="32"/>
        <v>4214.5833333333339</v>
      </c>
      <c r="R45" s="72">
        <f t="shared" si="32"/>
        <v>4477.994791666667</v>
      </c>
    </row>
    <row r="46" spans="1:86" x14ac:dyDescent="0.25">
      <c r="A46" s="1"/>
      <c r="B46" s="68" t="s">
        <v>18</v>
      </c>
      <c r="C46" s="69"/>
      <c r="D46" s="69">
        <f t="shared" ref="C46:H46" si="33">D45/D11</f>
        <v>5.5865921787709499E-3</v>
      </c>
      <c r="E46" s="69">
        <f t="shared" si="33"/>
        <v>7.3285964063836912E-3</v>
      </c>
      <c r="F46" s="69">
        <f t="shared" si="33"/>
        <v>6.7358770048013073E-3</v>
      </c>
      <c r="G46" s="69">
        <f t="shared" si="33"/>
        <v>9.0586754237712269E-3</v>
      </c>
      <c r="H46" s="69">
        <f t="shared" si="33"/>
        <v>1.3800304501687104E-2</v>
      </c>
      <c r="I46" s="73">
        <v>2.3388581952117865E-3</v>
      </c>
      <c r="J46" s="74">
        <v>3.3333333333333335E-3</v>
      </c>
      <c r="K46" s="74">
        <v>3.3333333333333335E-3</v>
      </c>
      <c r="L46" s="74">
        <v>3.3333333333333335E-3</v>
      </c>
      <c r="M46" s="74">
        <v>3.3333333333333335E-3</v>
      </c>
      <c r="N46" s="74">
        <v>3.3333333333333335E-3</v>
      </c>
      <c r="O46" s="74">
        <v>3.3333333333333335E-3</v>
      </c>
      <c r="P46" s="74">
        <v>3.3333333333333335E-3</v>
      </c>
      <c r="Q46" s="74">
        <v>3.3333333333333335E-3</v>
      </c>
      <c r="R46" s="74">
        <v>3.3333333333333335E-3</v>
      </c>
    </row>
    <row r="47" spans="1:86" x14ac:dyDescent="0.25">
      <c r="A47" s="1"/>
      <c r="B47" s="1"/>
      <c r="C47" s="1"/>
      <c r="D47" s="1"/>
      <c r="F47" s="1"/>
      <c r="G47" s="1"/>
      <c r="H47" s="1"/>
      <c r="I47" s="75"/>
      <c r="J47" s="76"/>
      <c r="K47" s="76"/>
      <c r="L47" s="76"/>
      <c r="M47" s="76"/>
      <c r="N47" s="76"/>
      <c r="O47" s="76"/>
      <c r="P47" s="76"/>
      <c r="Q47" s="76"/>
      <c r="R47" s="76"/>
    </row>
    <row r="48" spans="1:86" x14ac:dyDescent="0.25">
      <c r="A48" s="1"/>
      <c r="B48" s="1" t="s">
        <v>23</v>
      </c>
      <c r="C48" s="12"/>
      <c r="D48" s="12">
        <v>-1830</v>
      </c>
      <c r="E48" s="21">
        <v>-971</v>
      </c>
      <c r="F48" s="12">
        <v>-5211</v>
      </c>
      <c r="G48" s="12">
        <v>-9153</v>
      </c>
      <c r="H48" s="12">
        <v>-91094</v>
      </c>
      <c r="I48" s="71">
        <f>I49*I11</f>
        <v>-10000</v>
      </c>
      <c r="J48" s="72">
        <f t="shared" ref="J48:R48" si="34">J49*J11</f>
        <v>-2000</v>
      </c>
      <c r="K48" s="72">
        <f t="shared" si="34"/>
        <v>-3000</v>
      </c>
      <c r="L48" s="72">
        <f t="shared" si="34"/>
        <v>-2400</v>
      </c>
      <c r="M48" s="72">
        <f t="shared" si="34"/>
        <v>-2500</v>
      </c>
      <c r="N48" s="72">
        <f t="shared" si="34"/>
        <v>-2885.6825749167592</v>
      </c>
      <c r="O48" s="72">
        <f t="shared" si="34"/>
        <v>-3107.6581576026638</v>
      </c>
      <c r="P48" s="72">
        <f t="shared" si="34"/>
        <v>-3301.8867924528299</v>
      </c>
      <c r="Q48" s="72">
        <f t="shared" si="34"/>
        <v>-3508.2547169811319</v>
      </c>
      <c r="R48" s="72">
        <f t="shared" si="34"/>
        <v>-3727.5206367924529</v>
      </c>
    </row>
    <row r="49" spans="1:86" x14ac:dyDescent="0.25">
      <c r="A49" s="1"/>
      <c r="B49" s="68" t="s">
        <v>18</v>
      </c>
      <c r="C49" s="69"/>
      <c r="D49" s="69">
        <f t="shared" ref="C49:H49" si="35">D48/D11</f>
        <v>-2.4516699489570356E-2</v>
      </c>
      <c r="E49" s="69">
        <f t="shared" si="35"/>
        <v>-9.0305420185260964E-3</v>
      </c>
      <c r="F49" s="69">
        <f t="shared" si="35"/>
        <v>-3.3270763101440393E-2</v>
      </c>
      <c r="G49" s="69">
        <f t="shared" si="35"/>
        <v>-3.5237592925532531E-2</v>
      </c>
      <c r="H49" s="69">
        <f t="shared" si="35"/>
        <v>-0.23427598551559542</v>
      </c>
      <c r="I49" s="73">
        <v>-1.841620626151013E-2</v>
      </c>
      <c r="J49" s="74">
        <v>-3.1746031746031746E-3</v>
      </c>
      <c r="K49" s="74">
        <v>-4.3923865300146414E-3</v>
      </c>
      <c r="L49" s="74">
        <v>-3.1662269129287598E-3</v>
      </c>
      <c r="M49" s="74">
        <v>-2.7746947835738068E-3</v>
      </c>
      <c r="N49" s="74">
        <v>-2.7746947835738068E-3</v>
      </c>
      <c r="O49" s="74">
        <v>-2.7746947835738068E-3</v>
      </c>
      <c r="P49" s="74">
        <v>-2.7746947835738068E-3</v>
      </c>
      <c r="Q49" s="74">
        <v>-2.7746947835738068E-3</v>
      </c>
      <c r="R49" s="74">
        <v>-2.7746947835738068E-3</v>
      </c>
    </row>
    <row r="50" spans="1:86" x14ac:dyDescent="0.25">
      <c r="A50" s="1"/>
      <c r="B50" s="1"/>
      <c r="C50" s="1"/>
      <c r="D50" s="1"/>
      <c r="F50" s="1"/>
      <c r="G50" s="1"/>
      <c r="H50" s="1"/>
      <c r="I50" s="75"/>
      <c r="J50" s="76"/>
      <c r="K50" s="76"/>
      <c r="L50" s="76"/>
      <c r="M50" s="76"/>
      <c r="N50" s="76"/>
      <c r="O50" s="76"/>
      <c r="P50" s="76"/>
      <c r="Q50" s="76"/>
      <c r="R50" s="76"/>
    </row>
    <row r="51" spans="1:86" x14ac:dyDescent="0.25">
      <c r="A51" s="1"/>
      <c r="B51" s="1" t="s">
        <v>24</v>
      </c>
      <c r="C51" s="1"/>
      <c r="D51" s="1">
        <v>-2917</v>
      </c>
      <c r="E51" s="2">
        <v>-10822</v>
      </c>
      <c r="F51" s="36">
        <v>-36582</v>
      </c>
      <c r="G51" s="21">
        <v>-83400</v>
      </c>
      <c r="H51" s="21">
        <v>-131942</v>
      </c>
      <c r="I51" s="71">
        <f t="shared" ref="I51:R51" si="36">I52*I11</f>
        <v>-135750</v>
      </c>
      <c r="J51" s="72">
        <f t="shared" si="36"/>
        <v>-94500</v>
      </c>
      <c r="K51" s="72">
        <f t="shared" si="36"/>
        <v>-68300</v>
      </c>
      <c r="L51" s="72">
        <f t="shared" si="36"/>
        <v>-53060.000000000007</v>
      </c>
      <c r="M51" s="72">
        <f t="shared" si="36"/>
        <v>-63070.000000000007</v>
      </c>
      <c r="N51" s="72">
        <f t="shared" si="36"/>
        <v>-72800</v>
      </c>
      <c r="O51" s="72">
        <f t="shared" si="36"/>
        <v>-78400.000000000015</v>
      </c>
      <c r="P51" s="72">
        <f t="shared" si="36"/>
        <v>-83300.000000000015</v>
      </c>
      <c r="Q51" s="72">
        <f t="shared" si="36"/>
        <v>-88506.250000000015</v>
      </c>
      <c r="R51" s="72">
        <f t="shared" si="36"/>
        <v>-94037.890625000015</v>
      </c>
    </row>
    <row r="52" spans="1:86" x14ac:dyDescent="0.25">
      <c r="A52" s="1"/>
      <c r="B52" s="68" t="s">
        <v>18</v>
      </c>
      <c r="C52" s="69"/>
      <c r="D52" s="69">
        <f t="shared" ref="C52:H52" si="37">D51/D11</f>
        <v>-3.9079351044304218E-2</v>
      </c>
      <c r="E52" s="69">
        <f t="shared" si="37"/>
        <v>-0.10064729734756891</v>
      </c>
      <c r="F52" s="69">
        <f t="shared" si="37"/>
        <v>-0.23356573705179282</v>
      </c>
      <c r="G52" s="69">
        <f t="shared" si="37"/>
        <v>-0.32107672347748423</v>
      </c>
      <c r="H52" s="69">
        <f t="shared" si="37"/>
        <v>-0.33932906756645542</v>
      </c>
      <c r="I52" s="90">
        <v>-0.25</v>
      </c>
      <c r="J52" s="91">
        <v>-0.15</v>
      </c>
      <c r="K52" s="91">
        <v>-0.1</v>
      </c>
      <c r="L52" s="91">
        <v>-7.0000000000000007E-2</v>
      </c>
      <c r="M52" s="91">
        <v>-7.0000000000000007E-2</v>
      </c>
      <c r="N52" s="91">
        <v>-7.0000000000000007E-2</v>
      </c>
      <c r="O52" s="91">
        <v>-7.0000000000000007E-2</v>
      </c>
      <c r="P52" s="91">
        <v>-7.0000000000000007E-2</v>
      </c>
      <c r="Q52" s="91">
        <v>-7.0000000000000007E-2</v>
      </c>
      <c r="R52" s="91">
        <v>-7.0000000000000007E-2</v>
      </c>
    </row>
    <row r="53" spans="1:86" x14ac:dyDescent="0.25">
      <c r="A53" s="1"/>
      <c r="B53" s="1"/>
      <c r="C53" s="1"/>
      <c r="D53" s="1"/>
      <c r="E53" s="1"/>
      <c r="F53" s="1"/>
      <c r="G53" s="1"/>
      <c r="H53" s="1"/>
      <c r="I53" s="75"/>
      <c r="J53" s="76"/>
      <c r="K53" s="76"/>
      <c r="L53" s="76"/>
      <c r="M53" s="76"/>
      <c r="N53" s="76"/>
      <c r="O53" s="76"/>
      <c r="P53" s="76"/>
      <c r="Q53" s="76"/>
      <c r="R53" s="76"/>
    </row>
    <row r="54" spans="1:86" x14ac:dyDescent="0.25">
      <c r="A54" s="1"/>
      <c r="B54" s="10" t="s">
        <v>25</v>
      </c>
      <c r="C54" s="12"/>
      <c r="D54" s="12">
        <f t="shared" ref="D54:R54" si="38">D38+D41</f>
        <v>5665</v>
      </c>
      <c r="E54" s="12">
        <f t="shared" si="38"/>
        <v>18309</v>
      </c>
      <c r="F54" s="12">
        <f>F38+F41</f>
        <v>185</v>
      </c>
      <c r="G54" s="12">
        <f>G38+G41</f>
        <v>4219</v>
      </c>
      <c r="H54" s="12">
        <f>H38+H41</f>
        <v>-8471</v>
      </c>
      <c r="I54" s="81">
        <f>I38+I41</f>
        <v>4071.5092875073851</v>
      </c>
      <c r="J54" s="82">
        <f t="shared" si="38"/>
        <v>4444.917639074205</v>
      </c>
      <c r="K54" s="82">
        <f t="shared" si="38"/>
        <v>4618.5108579500384</v>
      </c>
      <c r="L54" s="82">
        <f t="shared" si="38"/>
        <v>7846.707037463013</v>
      </c>
      <c r="M54" s="82">
        <f t="shared" si="38"/>
        <v>8784.0918661290962</v>
      </c>
      <c r="N54" s="82">
        <f t="shared" si="38"/>
        <v>8614.6987824488242</v>
      </c>
      <c r="O54" s="82">
        <f t="shared" si="38"/>
        <v>9453.2501951819868</v>
      </c>
      <c r="P54" s="82">
        <f t="shared" si="38"/>
        <v>10373.702890762335</v>
      </c>
      <c r="Q54" s="82">
        <f t="shared" si="38"/>
        <v>11516.506422611998</v>
      </c>
      <c r="R54" s="82">
        <f t="shared" si="38"/>
        <v>11902.212186548482</v>
      </c>
    </row>
    <row r="55" spans="1:86" x14ac:dyDescent="0.25">
      <c r="A55" s="1"/>
      <c r="B55" s="10" t="s">
        <v>56</v>
      </c>
      <c r="C55" s="12"/>
      <c r="D55" s="12">
        <v>0</v>
      </c>
      <c r="E55" s="12">
        <v>564</v>
      </c>
      <c r="F55" s="12">
        <v>2897</v>
      </c>
      <c r="G55" s="12">
        <v>5164</v>
      </c>
      <c r="H55" s="12">
        <v>11301</v>
      </c>
      <c r="I55" s="81">
        <v>12145.8</v>
      </c>
      <c r="J55" s="82">
        <v>14866</v>
      </c>
      <c r="K55" s="82">
        <v>17586.2</v>
      </c>
      <c r="L55" s="82">
        <v>20306.400000000001</v>
      </c>
      <c r="M55" s="82">
        <v>23026.6</v>
      </c>
      <c r="N55" s="82">
        <v>25746.799999999999</v>
      </c>
      <c r="O55" s="82">
        <v>28467</v>
      </c>
      <c r="P55" s="82">
        <v>31187.200000000001</v>
      </c>
      <c r="Q55" s="82">
        <v>33907.4</v>
      </c>
      <c r="R55" s="82">
        <v>36627.599999999999</v>
      </c>
    </row>
    <row r="56" spans="1:86" x14ac:dyDescent="0.25">
      <c r="A56" s="1"/>
      <c r="B56" s="10" t="s">
        <v>26</v>
      </c>
      <c r="C56" s="12"/>
      <c r="D56" s="12">
        <f t="shared" ref="C56:G56" si="39">D36+D41-D55</f>
        <v>6574</v>
      </c>
      <c r="E56" s="12">
        <f t="shared" si="39"/>
        <v>18894</v>
      </c>
      <c r="F56" s="12">
        <f t="shared" si="39"/>
        <v>18780</v>
      </c>
      <c r="G56" s="12">
        <f t="shared" si="39"/>
        <v>37757</v>
      </c>
      <c r="H56" s="12">
        <f>H36+H41-H55</f>
        <v>39263</v>
      </c>
      <c r="I56" s="81">
        <f t="shared" ref="I56:R56" si="40">I36+I41-I55</f>
        <v>55728.209287507387</v>
      </c>
      <c r="J56" s="82">
        <f t="shared" si="40"/>
        <v>60327.917639074207</v>
      </c>
      <c r="K56" s="82">
        <f t="shared" si="40"/>
        <v>63733.210857950064</v>
      </c>
      <c r="L56" s="82">
        <f t="shared" si="40"/>
        <v>72663.707037463028</v>
      </c>
      <c r="M56" s="82">
        <f t="shared" si="40"/>
        <v>86939.791866129148</v>
      </c>
      <c r="N56" s="82">
        <f t="shared" si="40"/>
        <v>99659.898782448829</v>
      </c>
      <c r="O56" s="82">
        <f t="shared" si="40"/>
        <v>106762.25019518199</v>
      </c>
      <c r="P56" s="82">
        <f t="shared" si="40"/>
        <v>112823.50289076239</v>
      </c>
      <c r="Q56" s="82">
        <f t="shared" si="40"/>
        <v>119598.41892261198</v>
      </c>
      <c r="R56" s="82">
        <f t="shared" si="40"/>
        <v>126138.25671779847</v>
      </c>
      <c r="S56" s="61">
        <f>R56*(1+$E$6)</f>
        <v>129922.40441933244</v>
      </c>
      <c r="T56" s="61">
        <f t="shared" ref="T56:CE56" si="41">S56*(1+$E$6)</f>
        <v>133820.07655191241</v>
      </c>
      <c r="U56" s="61">
        <f t="shared" si="41"/>
        <v>137834.67884846978</v>
      </c>
      <c r="V56" s="61">
        <f t="shared" si="41"/>
        <v>141969.71921392388</v>
      </c>
      <c r="W56" s="61">
        <f t="shared" si="41"/>
        <v>146228.81079034161</v>
      </c>
      <c r="X56" s="61">
        <f t="shared" si="41"/>
        <v>150615.67511405188</v>
      </c>
      <c r="Y56" s="61">
        <f t="shared" si="41"/>
        <v>155134.14536747342</v>
      </c>
      <c r="Z56" s="61">
        <f t="shared" si="41"/>
        <v>159788.16972849763</v>
      </c>
      <c r="AA56" s="61">
        <f t="shared" si="41"/>
        <v>164581.81482035256</v>
      </c>
      <c r="AB56" s="61">
        <f t="shared" si="41"/>
        <v>169519.26926496314</v>
      </c>
      <c r="AC56" s="61">
        <f t="shared" si="41"/>
        <v>174604.84734291202</v>
      </c>
      <c r="AD56" s="61">
        <f t="shared" si="41"/>
        <v>179842.99276319938</v>
      </c>
      <c r="AE56" s="61">
        <f t="shared" si="41"/>
        <v>185238.28254609538</v>
      </c>
      <c r="AF56" s="61">
        <f t="shared" si="41"/>
        <v>190795.43102247824</v>
      </c>
      <c r="AG56" s="61">
        <f t="shared" si="41"/>
        <v>196519.29395315258</v>
      </c>
      <c r="AH56" s="61">
        <f t="shared" si="41"/>
        <v>202414.87277174715</v>
      </c>
      <c r="AI56" s="61">
        <f t="shared" si="41"/>
        <v>208487.31895489956</v>
      </c>
      <c r="AJ56" s="61">
        <f t="shared" si="41"/>
        <v>214741.93852354656</v>
      </c>
      <c r="AK56" s="61">
        <f t="shared" si="41"/>
        <v>221184.19667925296</v>
      </c>
      <c r="AL56" s="61">
        <f t="shared" si="41"/>
        <v>227819.72257963056</v>
      </c>
      <c r="AM56" s="61">
        <f t="shared" si="41"/>
        <v>234654.31425701949</v>
      </c>
      <c r="AN56" s="61">
        <f t="shared" si="41"/>
        <v>241693.94368473007</v>
      </c>
      <c r="AO56" s="61">
        <f t="shared" si="41"/>
        <v>248944.76199527198</v>
      </c>
      <c r="AP56" s="61">
        <f t="shared" si="41"/>
        <v>256413.10485513014</v>
      </c>
      <c r="AQ56" s="61">
        <f t="shared" si="41"/>
        <v>264105.49800078402</v>
      </c>
      <c r="AR56" s="61">
        <f t="shared" si="41"/>
        <v>272028.66294080752</v>
      </c>
      <c r="AS56" s="61">
        <f t="shared" si="41"/>
        <v>280189.52282903175</v>
      </c>
      <c r="AT56" s="61">
        <f t="shared" si="41"/>
        <v>288595.20851390273</v>
      </c>
      <c r="AU56" s="61">
        <f t="shared" si="41"/>
        <v>297253.06476931984</v>
      </c>
      <c r="AV56" s="61">
        <f t="shared" si="41"/>
        <v>306170.65671239945</v>
      </c>
      <c r="AW56" s="61">
        <f t="shared" si="41"/>
        <v>315355.77641377144</v>
      </c>
      <c r="AX56" s="61">
        <f t="shared" si="41"/>
        <v>324816.44970618462</v>
      </c>
      <c r="AY56" s="61">
        <f t="shared" si="41"/>
        <v>334560.94319737016</v>
      </c>
      <c r="AZ56" s="61">
        <f t="shared" si="41"/>
        <v>344597.77149329125</v>
      </c>
      <c r="BA56" s="61">
        <f t="shared" si="41"/>
        <v>354935.70463808998</v>
      </c>
      <c r="BB56" s="61">
        <f t="shared" si="41"/>
        <v>365583.77577723272</v>
      </c>
      <c r="BC56" s="61">
        <f t="shared" si="41"/>
        <v>376551.28905054973</v>
      </c>
      <c r="BD56" s="61">
        <f t="shared" si="41"/>
        <v>387847.82772206626</v>
      </c>
      <c r="BE56" s="61">
        <f t="shared" si="41"/>
        <v>399483.26255372824</v>
      </c>
      <c r="BF56" s="61">
        <f t="shared" si="41"/>
        <v>411467.76043034007</v>
      </c>
      <c r="BG56" s="61">
        <f t="shared" si="41"/>
        <v>423811.79324325029</v>
      </c>
      <c r="BH56" s="61">
        <f t="shared" si="41"/>
        <v>436526.1470405478</v>
      </c>
      <c r="BI56" s="61">
        <f t="shared" si="41"/>
        <v>449621.93145176425</v>
      </c>
      <c r="BJ56" s="61">
        <f t="shared" si="41"/>
        <v>463110.58939531719</v>
      </c>
      <c r="BK56" s="61">
        <f t="shared" si="41"/>
        <v>477003.90707717673</v>
      </c>
      <c r="BL56" s="61">
        <f t="shared" si="41"/>
        <v>491314.02428949205</v>
      </c>
      <c r="BM56" s="61">
        <f t="shared" si="41"/>
        <v>506053.4450181768</v>
      </c>
      <c r="BN56" s="61">
        <f t="shared" si="41"/>
        <v>521235.04836872214</v>
      </c>
      <c r="BO56" s="61">
        <f t="shared" si="41"/>
        <v>536872.09981978382</v>
      </c>
      <c r="BP56" s="61">
        <f t="shared" si="41"/>
        <v>552978.26281437732</v>
      </c>
      <c r="BQ56" s="61">
        <f t="shared" si="41"/>
        <v>569567.61069880868</v>
      </c>
      <c r="BR56" s="61">
        <f t="shared" si="41"/>
        <v>586654.63901977299</v>
      </c>
      <c r="BS56" s="61">
        <f t="shared" si="41"/>
        <v>604254.27819036623</v>
      </c>
      <c r="BT56" s="61">
        <f t="shared" si="41"/>
        <v>622381.90653607727</v>
      </c>
      <c r="BU56" s="61">
        <f t="shared" si="41"/>
        <v>641053.3637321596</v>
      </c>
      <c r="BV56" s="61">
        <f t="shared" si="41"/>
        <v>660284.96464412438</v>
      </c>
      <c r="BW56" s="61">
        <f t="shared" si="41"/>
        <v>680093.51358344813</v>
      </c>
      <c r="BX56" s="61">
        <f t="shared" si="41"/>
        <v>700496.31899095164</v>
      </c>
      <c r="BY56" s="61">
        <f t="shared" si="41"/>
        <v>721511.20856068016</v>
      </c>
      <c r="BZ56" s="61">
        <f t="shared" si="41"/>
        <v>743156.54481750063</v>
      </c>
      <c r="CA56" s="61">
        <f t="shared" si="41"/>
        <v>765451.24116202572</v>
      </c>
      <c r="CB56" s="61">
        <f t="shared" si="41"/>
        <v>788414.77839688654</v>
      </c>
      <c r="CC56" s="61">
        <f t="shared" si="41"/>
        <v>812067.22174879315</v>
      </c>
      <c r="CD56" s="61">
        <f t="shared" si="41"/>
        <v>836429.23840125697</v>
      </c>
      <c r="CE56" s="61">
        <f t="shared" si="41"/>
        <v>861522.11555329466</v>
      </c>
      <c r="CF56" s="61">
        <f t="shared" ref="CF56:CH56" si="42">CE56*(1+$E$6)</f>
        <v>887367.7790198935</v>
      </c>
      <c r="CG56" s="61">
        <f t="shared" si="42"/>
        <v>913988.81239049032</v>
      </c>
      <c r="CH56" s="61">
        <f t="shared" si="42"/>
        <v>941408.47676220501</v>
      </c>
    </row>
    <row r="57" spans="1:86" x14ac:dyDescent="0.25">
      <c r="A57" s="1"/>
      <c r="B57" s="6"/>
      <c r="C57" s="20"/>
      <c r="D57" s="20"/>
      <c r="E57" s="20"/>
      <c r="F57" s="20"/>
      <c r="G57" s="20"/>
      <c r="H57" s="20"/>
      <c r="I57" s="75"/>
      <c r="J57" s="76"/>
      <c r="K57" s="76"/>
      <c r="L57" s="76"/>
      <c r="M57" s="76"/>
      <c r="N57" s="76"/>
      <c r="O57" s="76"/>
      <c r="P57" s="76"/>
      <c r="Q57" s="76"/>
      <c r="R57" s="76"/>
    </row>
    <row r="58" spans="1:86" x14ac:dyDescent="0.25">
      <c r="A58" s="1"/>
      <c r="B58" s="10" t="s">
        <v>27</v>
      </c>
      <c r="C58" s="22"/>
      <c r="D58" s="12">
        <f t="shared" ref="D58:F58" si="43">D54+D45+D48-D51</f>
        <v>7169</v>
      </c>
      <c r="E58" s="12">
        <f t="shared" si="43"/>
        <v>28948</v>
      </c>
      <c r="F58" s="12">
        <f t="shared" si="43"/>
        <v>32611</v>
      </c>
      <c r="G58" s="12">
        <f>G54+G45+G48-G51</f>
        <v>80819</v>
      </c>
      <c r="H58" s="12">
        <f>H54+H45+H48-H51</f>
        <v>37743</v>
      </c>
      <c r="I58" s="81">
        <f>I54+I45+I48-I51</f>
        <v>131091.50928750739</v>
      </c>
      <c r="J58" s="85">
        <f t="shared" ref="J58:R58" si="44">J54+J45+J48-J51</f>
        <v>99044.917639074207</v>
      </c>
      <c r="K58" s="85">
        <f t="shared" si="44"/>
        <v>72195.177524616709</v>
      </c>
      <c r="L58" s="85">
        <f t="shared" si="44"/>
        <v>61033.373704129684</v>
      </c>
      <c r="M58" s="85">
        <f t="shared" si="44"/>
        <v>72357.425199462436</v>
      </c>
      <c r="N58" s="85">
        <f t="shared" si="44"/>
        <v>81995.682874198741</v>
      </c>
      <c r="O58" s="85">
        <f t="shared" si="44"/>
        <v>88478.925370912679</v>
      </c>
      <c r="P58" s="85">
        <f t="shared" si="44"/>
        <v>94338.482764976186</v>
      </c>
      <c r="Q58" s="85">
        <f t="shared" si="44"/>
        <v>100729.08503896421</v>
      </c>
      <c r="R58" s="85">
        <f t="shared" si="44"/>
        <v>106690.57696642271</v>
      </c>
    </row>
    <row r="59" spans="1:86" x14ac:dyDescent="0.25">
      <c r="A59" s="1"/>
      <c r="B59" s="23" t="s">
        <v>28</v>
      </c>
      <c r="C59" s="1"/>
      <c r="D59" s="1"/>
      <c r="E59" s="1"/>
      <c r="F59" s="1"/>
      <c r="G59" s="1"/>
      <c r="H59" s="1"/>
      <c r="I59" s="64">
        <f t="shared" ref="I59:R59" si="45">I58/((1+$E$5)^I9)</f>
        <v>119023.71373871663</v>
      </c>
      <c r="J59" s="62">
        <f t="shared" si="45"/>
        <v>81648.848014090501</v>
      </c>
      <c r="K59" s="62">
        <f t="shared" si="45"/>
        <v>54036.223377646966</v>
      </c>
      <c r="L59" s="62">
        <f t="shared" si="45"/>
        <v>41476.596313816888</v>
      </c>
      <c r="M59" s="62">
        <f t="shared" si="45"/>
        <v>44645.508153715782</v>
      </c>
      <c r="N59" s="62">
        <f t="shared" si="45"/>
        <v>45935.091569266966</v>
      </c>
      <c r="O59" s="62">
        <f t="shared" si="45"/>
        <v>45004.130132808001</v>
      </c>
      <c r="P59" s="62">
        <f t="shared" si="45"/>
        <v>43567.270593448928</v>
      </c>
      <c r="Q59" s="62">
        <f t="shared" si="45"/>
        <v>42236.243804827929</v>
      </c>
      <c r="R59" s="62">
        <f t="shared" si="45"/>
        <v>40617.706396886293</v>
      </c>
    </row>
    <row r="60" spans="1:86" x14ac:dyDescent="0.25">
      <c r="A60" s="1"/>
      <c r="B60" s="24"/>
      <c r="C60" s="24"/>
      <c r="D60" s="24"/>
      <c r="E60" s="24"/>
      <c r="F60" s="24"/>
      <c r="G60" s="24"/>
      <c r="H60" s="24"/>
      <c r="I60" s="16"/>
      <c r="J60" s="1"/>
      <c r="K60" s="1"/>
      <c r="L60" s="1"/>
      <c r="M60" s="1"/>
      <c r="N60" s="1"/>
      <c r="O60" s="1"/>
      <c r="P60" s="1"/>
      <c r="Q60" s="1"/>
      <c r="R60" s="1"/>
    </row>
    <row r="61" spans="1:86" x14ac:dyDescent="0.25">
      <c r="A61" s="1"/>
      <c r="B61" s="1" t="s">
        <v>29</v>
      </c>
      <c r="C61" s="25">
        <f>(R58*(1+$E$6))/($E$5-$E$6)</f>
        <v>1539312.7503387015</v>
      </c>
      <c r="D61" s="1"/>
      <c r="E61" s="1" t="s">
        <v>30</v>
      </c>
      <c r="F61" s="19">
        <f>NPV($E$5,I56:CH56)</f>
        <v>1197040.1763187423</v>
      </c>
      <c r="G61" s="1"/>
      <c r="H61" s="1"/>
      <c r="I61" s="16"/>
      <c r="J61" s="1"/>
      <c r="K61" s="1"/>
      <c r="L61" s="1"/>
      <c r="M61" s="1"/>
      <c r="N61" s="1"/>
      <c r="O61" s="1"/>
      <c r="P61" s="1"/>
      <c r="Q61" s="1"/>
    </row>
    <row r="62" spans="1:86" x14ac:dyDescent="0.25">
      <c r="A62" s="1"/>
      <c r="B62" s="3" t="s">
        <v>31</v>
      </c>
      <c r="C62" s="26">
        <f>C61/((1+$E$5)^$R$9)</f>
        <v>586025.07479098218</v>
      </c>
      <c r="D62" s="17"/>
      <c r="E62" s="3"/>
      <c r="F62" s="3"/>
      <c r="G62" s="3"/>
      <c r="H62" s="17"/>
      <c r="I62" s="13"/>
      <c r="J62" s="1"/>
      <c r="L62" s="51" t="s">
        <v>52</v>
      </c>
      <c r="M62" s="52"/>
      <c r="N62" s="52"/>
      <c r="O62" s="52"/>
      <c r="P62" s="52"/>
      <c r="Q62" s="51"/>
    </row>
    <row r="63" spans="1:86" x14ac:dyDescent="0.25">
      <c r="A63" s="1"/>
      <c r="B63" s="6" t="s">
        <v>32</v>
      </c>
      <c r="C63" s="6"/>
      <c r="D63" s="1"/>
      <c r="E63" s="6"/>
      <c r="F63" s="6"/>
      <c r="G63" s="27" t="s">
        <v>33</v>
      </c>
      <c r="H63" s="27" t="s">
        <v>30</v>
      </c>
      <c r="I63" s="16"/>
      <c r="J63" s="1"/>
      <c r="K63" s="51"/>
      <c r="L63" s="53">
        <f>D69</f>
        <v>16.3810039774947</v>
      </c>
      <c r="M63" s="54">
        <v>-0.01</v>
      </c>
      <c r="N63" s="54">
        <v>0.01</v>
      </c>
      <c r="O63" s="54">
        <v>0.03</v>
      </c>
      <c r="P63" s="54">
        <v>0.04</v>
      </c>
      <c r="Q63" s="54">
        <v>0.05</v>
      </c>
    </row>
    <row r="64" spans="1:86" x14ac:dyDescent="0.25">
      <c r="A64" s="1"/>
      <c r="B64" s="28" t="s">
        <v>34</v>
      </c>
      <c r="C64" s="1"/>
      <c r="D64" s="36">
        <v>260387</v>
      </c>
      <c r="E64" s="1"/>
      <c r="F64" s="1"/>
      <c r="G64" s="25">
        <f>C62+SUM(I59:R59)</f>
        <v>1144216.4068862069</v>
      </c>
      <c r="H64" s="19">
        <f>F61</f>
        <v>1197040.1763187423</v>
      </c>
      <c r="I64" s="16"/>
      <c r="J64" s="1"/>
      <c r="K64" s="51"/>
      <c r="L64" s="55">
        <f>L65-2%</f>
        <v>6.1389842156011204E-2</v>
      </c>
      <c r="M64" s="56">
        <f t="dataTable" ref="M64:Q68" dt2D="1" dtr="1" r1="E6" r2="E5"/>
        <v>22.443994460681488</v>
      </c>
      <c r="N64" s="56">
        <v>28.324421603404993</v>
      </c>
      <c r="O64" s="56">
        <v>40.342576612457584</v>
      </c>
      <c r="P64" s="56">
        <v>52.685237295563866</v>
      </c>
      <c r="Q64" s="56">
        <v>80.742469209161769</v>
      </c>
    </row>
    <row r="65" spans="1:17" x14ac:dyDescent="0.25">
      <c r="A65" s="1"/>
      <c r="B65" s="29" t="s">
        <v>35</v>
      </c>
      <c r="C65" s="3"/>
      <c r="D65" s="30">
        <v>450211</v>
      </c>
      <c r="E65" s="3"/>
      <c r="F65" s="3"/>
      <c r="G65" s="3"/>
      <c r="H65" s="3"/>
      <c r="I65" s="16"/>
      <c r="J65" s="1"/>
      <c r="K65" s="52"/>
      <c r="L65" s="55">
        <f>L66-2%</f>
        <v>8.1389842156011208E-2</v>
      </c>
      <c r="M65" s="56">
        <v>16.257695983557454</v>
      </c>
      <c r="N65" s="57">
        <v>19.152307367894878</v>
      </c>
      <c r="O65" s="57">
        <v>24.106917764455204</v>
      </c>
      <c r="P65" s="57">
        <v>28.127469558338625</v>
      </c>
      <c r="Q65" s="56">
        <v>34.20563765745851</v>
      </c>
    </row>
    <row r="66" spans="1:17" x14ac:dyDescent="0.25">
      <c r="A66" s="1"/>
      <c r="B66" s="6" t="s">
        <v>36</v>
      </c>
      <c r="C66" s="6"/>
      <c r="D66" s="6"/>
      <c r="E66" s="6"/>
      <c r="F66" s="6"/>
      <c r="G66" s="31">
        <f>(G64+D64-D65)</f>
        <v>954392.40688620694</v>
      </c>
      <c r="H66" s="32">
        <f>(H64+D64-D65)</f>
        <v>1007216.1763187423</v>
      </c>
      <c r="I66" s="16"/>
      <c r="J66"/>
      <c r="K66" s="51" t="s">
        <v>1</v>
      </c>
      <c r="L66" s="58">
        <v>0.10138984215601121</v>
      </c>
      <c r="M66" s="56">
        <v>12.338345342235861</v>
      </c>
      <c r="N66" s="57">
        <v>13.930319039988959</v>
      </c>
      <c r="O66" s="59">
        <v>16.3810039774947</v>
      </c>
      <c r="P66" s="57">
        <v>18.164408731331243</v>
      </c>
      <c r="Q66" s="56">
        <v>20.568156451778769</v>
      </c>
    </row>
    <row r="67" spans="1:17" x14ac:dyDescent="0.25">
      <c r="A67" s="1"/>
      <c r="B67" s="3" t="s">
        <v>37</v>
      </c>
      <c r="C67" s="3"/>
      <c r="D67" s="36">
        <f>59874492/1000</f>
        <v>59874.491999999998</v>
      </c>
      <c r="E67" s="3"/>
      <c r="F67" s="3"/>
      <c r="G67" s="3"/>
      <c r="H67" s="3"/>
      <c r="I67" s="16"/>
      <c r="J67" s="1"/>
      <c r="K67" s="51"/>
      <c r="L67" s="60">
        <f>L66+2%</f>
        <v>0.12138984215601122</v>
      </c>
      <c r="M67" s="56">
        <v>9.6588150400894346</v>
      </c>
      <c r="N67" s="57">
        <v>10.604368271257311</v>
      </c>
      <c r="O67" s="57">
        <v>11.957389621348895</v>
      </c>
      <c r="P67" s="57">
        <v>12.875710204435599</v>
      </c>
      <c r="Q67" s="56">
        <v>14.038260915102931</v>
      </c>
    </row>
    <row r="68" spans="1:17" x14ac:dyDescent="0.25">
      <c r="A68" s="1"/>
      <c r="B68" s="18" t="s">
        <v>38</v>
      </c>
      <c r="C68" s="18"/>
      <c r="D68" s="18">
        <f>D67*$J$5</f>
        <v>641255.80932</v>
      </c>
      <c r="E68" s="18"/>
      <c r="F68" s="18"/>
      <c r="G68" s="18"/>
      <c r="H68" s="33"/>
      <c r="I68" s="1"/>
      <c r="J68" s="1"/>
      <c r="K68" s="51"/>
      <c r="L68" s="60">
        <f>L67+2%</f>
        <v>0.14138984215601122</v>
      </c>
      <c r="M68" s="56">
        <v>7.7244235209066012</v>
      </c>
      <c r="N68" s="56">
        <v>8.3186185594013686</v>
      </c>
      <c r="O68" s="56">
        <v>9.1248687843047662</v>
      </c>
      <c r="P68" s="56">
        <v>9.6457472737434493</v>
      </c>
      <c r="Q68" s="56">
        <v>10.278050843211666</v>
      </c>
    </row>
    <row r="69" spans="1:17" x14ac:dyDescent="0.25">
      <c r="A69" s="1"/>
      <c r="B69" s="6" t="s">
        <v>39</v>
      </c>
      <c r="C69" s="6" t="s">
        <v>40</v>
      </c>
      <c r="D69" s="34">
        <f>(G69+H69)/2</f>
        <v>16.3810039774947</v>
      </c>
      <c r="F69" s="6"/>
      <c r="G69" s="34">
        <f>G66/D67</f>
        <v>15.93988316236916</v>
      </c>
      <c r="H69" s="34">
        <f>H66/D67</f>
        <v>16.822124792620244</v>
      </c>
      <c r="I69" s="16"/>
      <c r="J69" s="1"/>
    </row>
    <row r="70" spans="1:17" x14ac:dyDescent="0.25">
      <c r="A70"/>
      <c r="C70" s="1"/>
      <c r="D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G8" sqref="G8"/>
    </sheetView>
  </sheetViews>
  <sheetFormatPr defaultRowHeight="15" x14ac:dyDescent="0.25"/>
  <cols>
    <col min="11" max="11" width="11.2851562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8" t="s">
        <v>1</v>
      </c>
      <c r="C2" s="2"/>
      <c r="D2" s="2"/>
      <c r="E2" s="2"/>
      <c r="F2" s="2"/>
      <c r="G2" s="2"/>
      <c r="H2" s="2"/>
      <c r="I2" s="2"/>
      <c r="J2" s="2"/>
      <c r="K2" s="2"/>
      <c r="L2" s="39"/>
    </row>
    <row r="3" spans="1:14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2"/>
    </row>
    <row r="4" spans="1:14" x14ac:dyDescent="0.25">
      <c r="A4" s="41" t="s">
        <v>42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2">
        <v>0.20300000000000001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2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43">
        <v>1.7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2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6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1">
        <f>'ACMR DCF'!D68</f>
        <v>641255.80932</v>
      </c>
      <c r="D12" s="2"/>
      <c r="E12" s="2" t="s">
        <v>35</v>
      </c>
      <c r="F12" s="2"/>
      <c r="G12" s="21">
        <f>'ACMR DCF'!D65</f>
        <v>450211</v>
      </c>
      <c r="H12" s="2"/>
      <c r="I12" s="2" t="s">
        <v>47</v>
      </c>
      <c r="J12" s="2"/>
      <c r="K12" s="21">
        <f>G12+C12</f>
        <v>1091466.80932</v>
      </c>
      <c r="L12" s="2"/>
    </row>
    <row r="13" spans="1:14" x14ac:dyDescent="0.25">
      <c r="A13" s="2" t="s">
        <v>48</v>
      </c>
      <c r="B13" s="2"/>
      <c r="C13" s="44">
        <f>C12/K12</f>
        <v>0.58751746168031616</v>
      </c>
      <c r="D13" s="2"/>
      <c r="E13" s="2" t="s">
        <v>49</v>
      </c>
      <c r="F13" s="2"/>
      <c r="G13" s="45">
        <f>G12/K12</f>
        <v>0.4124825383196839</v>
      </c>
      <c r="H13" s="2"/>
      <c r="I13" s="2"/>
      <c r="J13" s="2"/>
      <c r="K13" s="2"/>
      <c r="L13" s="2"/>
      <c r="M13" s="36"/>
    </row>
    <row r="14" spans="1:14" x14ac:dyDescent="0.25">
      <c r="A14" s="2" t="s">
        <v>50</v>
      </c>
      <c r="B14" s="2"/>
      <c r="C14" s="46">
        <f>D7+D8*(D9)</f>
        <v>0.13899999999999998</v>
      </c>
      <c r="D14" s="2"/>
      <c r="E14" s="2" t="s">
        <v>51</v>
      </c>
      <c r="F14" s="2"/>
      <c r="G14" s="47">
        <v>0.06</v>
      </c>
      <c r="H14" s="2"/>
      <c r="I14" s="48" t="s">
        <v>1</v>
      </c>
      <c r="J14" s="49"/>
      <c r="K14" s="67">
        <f>C13*C14+G14*G13*(1-D6)</f>
        <v>0.10138984215601121</v>
      </c>
      <c r="L14" s="2"/>
    </row>
    <row r="15" spans="1:14" x14ac:dyDescent="0.25">
      <c r="D15" s="36"/>
      <c r="G15" s="36"/>
      <c r="J15" s="36"/>
      <c r="M15" s="36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6"/>
      <c r="G17" s="36"/>
      <c r="J17" s="36"/>
      <c r="M17" s="36"/>
    </row>
    <row r="21" spans="4:13" x14ac:dyDescent="0.25">
      <c r="D21" s="36"/>
      <c r="E21" s="36"/>
      <c r="F21" s="36"/>
      <c r="G21" s="36"/>
      <c r="H21" s="36"/>
      <c r="I21" s="36"/>
      <c r="J21" s="36"/>
      <c r="K21" s="36"/>
      <c r="L21" s="36"/>
      <c r="M21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ACMR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2023-05-27T21:54:14Z</dcterms:modified>
</cp:coreProperties>
</file>