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B64E91F6-50A7-4556-A170-6DF723C75D90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OHR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N17" i="1"/>
  <c r="O17" i="1" s="1"/>
  <c r="P17" i="1" s="1"/>
  <c r="Q17" i="1" s="1"/>
  <c r="R17" i="1" s="1"/>
  <c r="L17" i="1"/>
  <c r="E5" i="1"/>
  <c r="L26" i="1"/>
  <c r="M26" i="1"/>
  <c r="N26" i="1" s="1"/>
  <c r="O26" i="1" s="1"/>
  <c r="P26" i="1" s="1"/>
  <c r="Q26" i="1" s="1"/>
  <c r="R26" i="1" s="1"/>
  <c r="M23" i="1"/>
  <c r="N23" i="1"/>
  <c r="O23" i="1" s="1"/>
  <c r="P23" i="1" s="1"/>
  <c r="Q23" i="1" s="1"/>
  <c r="R23" i="1" s="1"/>
  <c r="L23" i="1"/>
  <c r="M20" i="1"/>
  <c r="N20" i="1"/>
  <c r="O20" i="1" s="1"/>
  <c r="P20" i="1" s="1"/>
  <c r="Q20" i="1" s="1"/>
  <c r="R20" i="1" s="1"/>
  <c r="L20" i="1"/>
  <c r="M42" i="1"/>
  <c r="N42" i="1"/>
  <c r="O42" i="1" s="1"/>
  <c r="P42" i="1" s="1"/>
  <c r="Q42" i="1" s="1"/>
  <c r="R42" i="1" s="1"/>
  <c r="L42" i="1"/>
  <c r="M49" i="1"/>
  <c r="N49" i="1"/>
  <c r="O49" i="1" s="1"/>
  <c r="P49" i="1" s="1"/>
  <c r="Q49" i="1" s="1"/>
  <c r="R49" i="1" s="1"/>
  <c r="L49" i="1"/>
  <c r="N46" i="1"/>
  <c r="O46" i="1"/>
  <c r="P46" i="1" s="1"/>
  <c r="Q46" i="1" s="1"/>
  <c r="R46" i="1" s="1"/>
  <c r="M46" i="1"/>
  <c r="J48" i="1"/>
  <c r="K48" i="1"/>
  <c r="I48" i="1"/>
  <c r="J45" i="1"/>
  <c r="K45" i="1"/>
  <c r="I45" i="1"/>
  <c r="J11" i="1"/>
  <c r="K11" i="1"/>
  <c r="L66" i="1"/>
  <c r="L67" i="1" s="1"/>
  <c r="L64" i="1"/>
  <c r="L63" i="1" s="1"/>
  <c r="D29" i="1" l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D31" i="1" s="1"/>
  <c r="D32" i="1" s="1"/>
  <c r="E20" i="1"/>
  <c r="E31" i="1" s="1"/>
  <c r="F20" i="1"/>
  <c r="G20" i="1"/>
  <c r="H20" i="1"/>
  <c r="C20" i="1"/>
  <c r="C31" i="1" s="1"/>
  <c r="D66" i="1"/>
  <c r="D67" i="1" s="1"/>
  <c r="C14" i="2"/>
  <c r="G12" i="2"/>
  <c r="H31" i="1"/>
  <c r="H32" i="1" s="1"/>
  <c r="H12" i="1"/>
  <c r="D12" i="1"/>
  <c r="C45" i="1"/>
  <c r="C46" i="1" s="1"/>
  <c r="D45" i="1"/>
  <c r="E45" i="1"/>
  <c r="E46" i="1" s="1"/>
  <c r="F31" i="1"/>
  <c r="F32" i="1" s="1"/>
  <c r="H51" i="1"/>
  <c r="H52" i="1" s="1"/>
  <c r="F45" i="1"/>
  <c r="G45" i="1"/>
  <c r="G46" i="1" s="1"/>
  <c r="H45" i="1"/>
  <c r="H46" i="1" s="1"/>
  <c r="C52" i="1"/>
  <c r="D52" i="1"/>
  <c r="E52" i="1"/>
  <c r="F52" i="1"/>
  <c r="G52" i="1"/>
  <c r="C49" i="1"/>
  <c r="D49" i="1"/>
  <c r="E49" i="1"/>
  <c r="F49" i="1"/>
  <c r="G49" i="1"/>
  <c r="H49" i="1"/>
  <c r="F46" i="1"/>
  <c r="D46" i="1"/>
  <c r="C16" i="1"/>
  <c r="C17" i="1" s="1"/>
  <c r="D16" i="1"/>
  <c r="D34" i="1" s="1"/>
  <c r="D36" i="1" s="1"/>
  <c r="E16" i="1"/>
  <c r="E17" i="1" s="1"/>
  <c r="F16" i="1"/>
  <c r="F34" i="1" s="1"/>
  <c r="F38" i="1" s="1"/>
  <c r="G16" i="1"/>
  <c r="G17" i="1" s="1"/>
  <c r="H16" i="1"/>
  <c r="H34" i="1" s="1"/>
  <c r="H36" i="1" s="1"/>
  <c r="H55" i="1" s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12" i="2" l="1"/>
  <c r="G31" i="1"/>
  <c r="K12" i="2"/>
  <c r="G13" i="2" s="1"/>
  <c r="C34" i="1"/>
  <c r="E34" i="1"/>
  <c r="F36" i="1"/>
  <c r="F55" i="1" s="1"/>
  <c r="G34" i="1"/>
  <c r="G36" i="1" s="1"/>
  <c r="G55" i="1" s="1"/>
  <c r="H38" i="1"/>
  <c r="H54" i="1" s="1"/>
  <c r="H57" i="1" s="1"/>
  <c r="D38" i="1"/>
  <c r="H17" i="1"/>
  <c r="F17" i="1"/>
  <c r="D17" i="1"/>
  <c r="G32" i="1"/>
  <c r="E32" i="1"/>
  <c r="C32" i="1"/>
  <c r="J28" i="1" l="1"/>
  <c r="J25" i="1"/>
  <c r="J22" i="1"/>
  <c r="J19" i="1"/>
  <c r="C13" i="2"/>
  <c r="J16" i="1"/>
  <c r="J14" i="1" s="1"/>
  <c r="E38" i="1"/>
  <c r="E42" i="1" s="1"/>
  <c r="E36" i="1"/>
  <c r="E55" i="1" s="1"/>
  <c r="G38" i="1"/>
  <c r="G54" i="1" s="1"/>
  <c r="G57" i="1" s="1"/>
  <c r="C36" i="1"/>
  <c r="C55" i="1" s="1"/>
  <c r="D55" i="1"/>
  <c r="C38" i="1"/>
  <c r="C54" i="1" s="1"/>
  <c r="C57" i="1" s="1"/>
  <c r="D42" i="1"/>
  <c r="D39" i="1"/>
  <c r="D54" i="1"/>
  <c r="D57" i="1" s="1"/>
  <c r="F42" i="1"/>
  <c r="F39" i="1"/>
  <c r="F54" i="1"/>
  <c r="F57" i="1" s="1"/>
  <c r="H42" i="1"/>
  <c r="H39" i="1"/>
  <c r="E54" i="1"/>
  <c r="E57" i="1" s="1"/>
  <c r="J51" i="1"/>
  <c r="K28" i="1" l="1"/>
  <c r="K25" i="1"/>
  <c r="K22" i="1"/>
  <c r="K19" i="1"/>
  <c r="C42" i="1"/>
  <c r="G42" i="1"/>
  <c r="E39" i="1"/>
  <c r="G39" i="1"/>
  <c r="L11" i="1"/>
  <c r="K16" i="1"/>
  <c r="K14" i="1" s="1"/>
  <c r="C39" i="1"/>
  <c r="K51" i="1"/>
  <c r="L25" i="1" l="1"/>
  <c r="L19" i="1"/>
  <c r="L28" i="1"/>
  <c r="L22" i="1"/>
  <c r="L16" i="1"/>
  <c r="L14" i="1" s="1"/>
  <c r="L48" i="1"/>
  <c r="M11" i="1"/>
  <c r="N11" i="1" s="1"/>
  <c r="L45" i="1"/>
  <c r="L51" i="1"/>
  <c r="N25" i="1" l="1"/>
  <c r="N19" i="1"/>
  <c r="N28" i="1"/>
  <c r="N22" i="1"/>
  <c r="M48" i="1"/>
  <c r="M28" i="1"/>
  <c r="M22" i="1"/>
  <c r="M25" i="1"/>
  <c r="M19" i="1"/>
  <c r="M51" i="1"/>
  <c r="M45" i="1"/>
  <c r="M16" i="1"/>
  <c r="M14" i="1" s="1"/>
  <c r="O11" i="1"/>
  <c r="N16" i="1"/>
  <c r="N14" i="1" s="1"/>
  <c r="N48" i="1"/>
  <c r="N45" i="1"/>
  <c r="N51" i="1"/>
  <c r="O28" i="1" l="1"/>
  <c r="O22" i="1"/>
  <c r="O25" i="1"/>
  <c r="O19" i="1"/>
  <c r="O51" i="1"/>
  <c r="P11" i="1"/>
  <c r="O16" i="1"/>
  <c r="O48" i="1"/>
  <c r="O45" i="1"/>
  <c r="P25" i="1" l="1"/>
  <c r="P19" i="1"/>
  <c r="P28" i="1"/>
  <c r="P22" i="1"/>
  <c r="Q11" i="1"/>
  <c r="P16" i="1"/>
  <c r="P48" i="1"/>
  <c r="P45" i="1"/>
  <c r="P51" i="1"/>
  <c r="O14" i="1"/>
  <c r="Q28" i="1" l="1"/>
  <c r="Q22" i="1"/>
  <c r="Q25" i="1"/>
  <c r="Q19" i="1"/>
  <c r="R11" i="1"/>
  <c r="Q16" i="1"/>
  <c r="Q45" i="1"/>
  <c r="Q48" i="1"/>
  <c r="Q51" i="1"/>
  <c r="P14" i="1"/>
  <c r="R25" i="1" l="1"/>
  <c r="R19" i="1"/>
  <c r="R28" i="1"/>
  <c r="R22" i="1"/>
  <c r="R16" i="1"/>
  <c r="R14" i="1" s="1"/>
  <c r="R48" i="1"/>
  <c r="R45" i="1"/>
  <c r="R51" i="1"/>
  <c r="Q14" i="1"/>
  <c r="M34" i="1" l="1"/>
  <c r="M38" i="1" s="1"/>
  <c r="M39" i="1" s="1"/>
  <c r="L34" i="1"/>
  <c r="L36" i="1" s="1"/>
  <c r="N34" i="1"/>
  <c r="N38" i="1" s="1"/>
  <c r="N39" i="1" s="1"/>
  <c r="P34" i="1"/>
  <c r="P36" i="1" s="1"/>
  <c r="R34" i="1"/>
  <c r="R38" i="1" s="1"/>
  <c r="R39" i="1" s="1"/>
  <c r="K34" i="1"/>
  <c r="K36" i="1" s="1"/>
  <c r="Q34" i="1"/>
  <c r="Q38" i="1" s="1"/>
  <c r="Q39" i="1" s="1"/>
  <c r="O34" i="1"/>
  <c r="O38" i="1" s="1"/>
  <c r="O39" i="1" s="1"/>
  <c r="J34" i="1"/>
  <c r="J38" i="1" s="1"/>
  <c r="J39" i="1" s="1"/>
  <c r="K38" i="1" l="1"/>
  <c r="K39" i="1" s="1"/>
  <c r="P38" i="1"/>
  <c r="P39" i="1" s="1"/>
  <c r="L38" i="1"/>
  <c r="L39" i="1" s="1"/>
  <c r="J36" i="1"/>
  <c r="Q36" i="1"/>
  <c r="R36" i="1"/>
  <c r="N36" i="1"/>
  <c r="M36" i="1"/>
  <c r="O36" i="1"/>
  <c r="K14" i="2"/>
  <c r="R41" i="1"/>
  <c r="R54" i="1" s="1"/>
  <c r="R57" i="1" s="1"/>
  <c r="P41" i="1"/>
  <c r="P54" i="1" s="1"/>
  <c r="P57" i="1" s="1"/>
  <c r="N41" i="1"/>
  <c r="N55" i="1" s="1"/>
  <c r="N31" i="1" s="1"/>
  <c r="N32" i="1" s="1"/>
  <c r="J41" i="1"/>
  <c r="J55" i="1" s="1"/>
  <c r="J31" i="1" s="1"/>
  <c r="J32" i="1" s="1"/>
  <c r="Q41" i="1"/>
  <c r="Q54" i="1" s="1"/>
  <c r="Q57" i="1" s="1"/>
  <c r="O41" i="1"/>
  <c r="M41" i="1"/>
  <c r="M54" i="1" s="1"/>
  <c r="M57" i="1" s="1"/>
  <c r="K41" i="1" l="1"/>
  <c r="K54" i="1" s="1"/>
  <c r="K57" i="1" s="1"/>
  <c r="M58" i="1"/>
  <c r="Q58" i="1"/>
  <c r="O55" i="1"/>
  <c r="O31" i="1" s="1"/>
  <c r="O32" i="1" s="1"/>
  <c r="L41" i="1"/>
  <c r="L55" i="1" s="1"/>
  <c r="L31" i="1" s="1"/>
  <c r="L32" i="1" s="1"/>
  <c r="M55" i="1"/>
  <c r="M31" i="1" s="1"/>
  <c r="M32" i="1" s="1"/>
  <c r="L54" i="1"/>
  <c r="L57" i="1" s="1"/>
  <c r="L58" i="1" s="1"/>
  <c r="P55" i="1"/>
  <c r="P31" i="1" s="1"/>
  <c r="P32" i="1" s="1"/>
  <c r="Q55" i="1"/>
  <c r="Q31" i="1" s="1"/>
  <c r="Q32" i="1" s="1"/>
  <c r="P58" i="1"/>
  <c r="K58" i="1"/>
  <c r="R58" i="1"/>
  <c r="C60" i="1"/>
  <c r="C61" i="1" s="1"/>
  <c r="O54" i="1"/>
  <c r="O57" i="1" s="1"/>
  <c r="O58" i="1" s="1"/>
  <c r="J54" i="1"/>
  <c r="J57" i="1" s="1"/>
  <c r="J58" i="1" s="1"/>
  <c r="N54" i="1"/>
  <c r="N57" i="1" s="1"/>
  <c r="N58" i="1" s="1"/>
  <c r="R55" i="1"/>
  <c r="S55" i="1" l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R31" i="1"/>
  <c r="R32" i="1" s="1"/>
  <c r="K55" i="1"/>
  <c r="K31" i="1" s="1"/>
  <c r="K32" i="1" s="1"/>
  <c r="I11" i="1" l="1"/>
  <c r="I19" i="1" s="1"/>
  <c r="I16" i="1" l="1"/>
  <c r="I25" i="1"/>
  <c r="I22" i="1"/>
  <c r="I28" i="1"/>
  <c r="I51" i="1"/>
  <c r="I34" i="1" l="1"/>
  <c r="I38" i="1" s="1"/>
  <c r="I36" i="1"/>
  <c r="I14" i="1"/>
  <c r="I39" i="1" l="1"/>
  <c r="I41" i="1"/>
  <c r="I54" i="1" s="1"/>
  <c r="I57" i="1" s="1"/>
  <c r="I58" i="1" s="1"/>
  <c r="G63" i="1" s="1"/>
  <c r="G65" i="1" s="1"/>
  <c r="G68" i="1" s="1"/>
  <c r="I55" i="1" l="1"/>
  <c r="F60" i="1" l="1"/>
  <c r="H63" i="1" s="1"/>
  <c r="H65" i="1" s="1"/>
  <c r="H68" i="1" s="1"/>
  <c r="E68" i="1" s="1"/>
  <c r="J6" i="1" s="1"/>
  <c r="N5" i="1" s="1"/>
  <c r="I31" i="1"/>
  <c r="I32" i="1" s="1"/>
  <c r="L62" i="1" l="1"/>
</calcChain>
</file>

<file path=xl/sharedStrings.xml><?xml version="1.0" encoding="utf-8"?>
<sst xmlns="http://schemas.openxmlformats.org/spreadsheetml/2006/main" count="69" uniqueCount="55">
  <si>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</si>
  <si>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</si>
  <si>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</si>
  <si>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</si>
  <si>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</si>
  <si>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</si>
  <si>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</si>
  <si>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</si>
  <si>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</si>
  <si>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</si>
  <si>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</si>
  <si>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</si>
  <si>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</si>
  <si>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</si>
  <si>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</si>
  <si>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</si>
  <si>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</si>
  <si>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</si>
  <si>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</si>
  <si>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</si>
  <si>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</si>
  <si>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</si>
  <si>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</si>
  <si>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</si>
  <si>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</si>
  <si>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</si>
  <si>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</si>
  <si>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</si>
  <si>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</si>
  <si>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</si>
  <si>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</si>
  <si>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</si>
  <si>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</si>
  <si>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</si>
  <si>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</si>
  <si>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</si>
  <si>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</si>
  <si>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</si>
  <si>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</si>
  <si>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</si>
  <si>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</si>
  <si>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</si>
  <si>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Interest 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</si>
  <si>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</si>
  <si>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</si>
  <si>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</si>
  <si>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</si>
  <si>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</si>
  <si>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</si>
  <si>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</si>
  <si>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</si>
  <si>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</si>
  <si>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</si>
  <si>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Coherent Corp. DCF</t>
  </si>
  <si>
    <t xml:space="preserve">                                             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</si>
</sst>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8" xfId="0" applyFont="1" applyFill="1" applyBorder="1"/>
    <xf numFmtId="0" fontId="3" fillId="2" borderId="9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10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1" xfId="0" applyFont="1" applyFill="1" applyBorder="1"/>
    <xf numFmtId="0" fontId="0" fillId="2" borderId="12" xfId="0" applyFill="1" applyBorder="1"/>
    <xf numFmtId="10" fontId="2" fillId="2" borderId="13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8" borderId="0" xfId="1" applyNumberFormat="1" applyFont="1" applyFill="1" applyBorder="1" applyAlignment="1">
      <alignment horizontal="left"/>
    </xf>
    <xf numFmtId="2" fontId="9" fillId="10" borderId="0" xfId="0" applyNumberFormat="1" applyFont="1" applyFill="1"/>
    <xf numFmtId="164" fontId="0" fillId="8" borderId="0" xfId="1" applyNumberFormat="1" applyFont="1" applyFill="1" applyBorder="1" applyAlignment="1">
      <alignment horizontal="left"/>
    </xf>
    <xf numFmtId="1" fontId="3" fillId="2" borderId="1" xfId="0" applyNumberFormat="1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3" fillId="11" borderId="0" xfId="1" applyNumberFormat="1" applyFont="1" applyFill="1"/>
    <xf numFmtId="0" fontId="7" fillId="8" borderId="0" xfId="0" applyFont="1" applyFill="1"/>
    <xf numFmtId="164" fontId="7" fillId="8" borderId="0" xfId="1" applyNumberFormat="1" applyFont="1" applyFill="1"/>
    <xf numFmtId="1" fontId="3" fillId="2" borderId="14" xfId="0" applyNumberFormat="1" applyFont="1" applyFill="1" applyBorder="1"/>
    <xf numFmtId="1" fontId="3" fillId="2" borderId="15" xfId="0" applyNumberFormat="1" applyFont="1" applyFill="1" applyBorder="1"/>
    <xf numFmtId="0" fontId="2" fillId="4" borderId="4" xfId="0" applyFont="1" applyFill="1" applyBorder="1"/>
    <xf numFmtId="0" fontId="2" fillId="4" borderId="0" xfId="0" applyFont="1" applyFill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1" fontId="0" fillId="2" borderId="14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3" fontId="0" fillId="2" borderId="4" xfId="0" applyNumberFormat="1" applyFill="1" applyBorder="1"/>
    <xf numFmtId="0" fontId="2" fillId="3" borderId="4" xfId="0" applyFont="1" applyFill="1" applyBorder="1"/>
    <xf numFmtId="0" fontId="2" fillId="3" borderId="0" xfId="0" applyFont="1" applyFill="1"/>
    <xf numFmtId="164" fontId="10" fillId="12" borderId="4" xfId="1" applyNumberFormat="1" applyFont="1" applyFill="1" applyBorder="1"/>
    <xf numFmtId="164" fontId="10" fillId="12" borderId="0" xfId="1" applyNumberFormat="1" applyFont="1" applyFill="1" applyBorder="1"/>
    <xf numFmtId="10" fontId="10" fillId="12" borderId="4" xfId="0" applyNumberFormat="1" applyFont="1" applyFill="1" applyBorder="1"/>
    <xf numFmtId="10" fontId="10" fillId="12" borderId="0" xfId="0" applyNumberFormat="1" applyFont="1" applyFill="1"/>
    <xf numFmtId="164" fontId="0" fillId="12" borderId="4" xfId="1" applyNumberFormat="1" applyFont="1" applyFill="1" applyBorder="1"/>
    <xf numFmtId="164" fontId="0" fillId="12" borderId="0" xfId="1" applyNumberFormat="1" applyFont="1" applyFill="1" applyBorder="1"/>
    <xf numFmtId="164" fontId="0" fillId="12" borderId="4" xfId="0" applyNumberFormat="1" applyFill="1" applyBorder="1"/>
    <xf numFmtId="164" fontId="0" fillId="1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9"/>
  <sheetViews>
    <sheetView tabSelected="1" zoomScaleNormal="100" workbookViewId="0">
      <selection activeCell="H8" sqref="H8"/>
    </sheetView>
  </sheetViews>
  <sheetFormatPr defaultRowHeight="15" x14ac:dyDescent="0.25"/>
  <cols>
    <col min="1" max="6" width="9.140625" style="2"/>
    <col min="7" max="7" width="10.140625" style="2" bestFit="1" customWidth="1"/>
    <col min="8" max="8" width="10.42578125" style="2" customWidth="1"/>
    <col min="9" max="17" width="9.140625" style="2"/>
    <col min="18" max="18" width="10.7109375" style="2" customWidth="1"/>
    <col min="19" max="16384" width="9.140625" style="2"/>
  </cols>
  <sheetData>
    <row r="1" spans="1:18" s="54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4" customFormat="1" ht="23.25" x14ac:dyDescent="0.35">
      <c r="A2" s="3"/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4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4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18" s="54" customFormat="1" x14ac:dyDescent="0.25">
      <c r="A5" s="1"/>
      <c r="B5" s="1"/>
      <c r="C5" s="7" t="s">
        <v>1</v>
      </c>
      <c r="D5" s="1"/>
      <c r="E5" s="8">
        <f>WACC!K14</f>
        <v>0.11551912773200938</v>
      </c>
      <c r="F5" s="2"/>
      <c r="G5" s="1"/>
      <c r="H5" s="1" t="s">
        <v>2</v>
      </c>
      <c r="I5" s="1"/>
      <c r="J5" s="7">
        <v>39.08</v>
      </c>
      <c r="K5" s="1"/>
      <c r="L5" s="1" t="s">
        <v>3</v>
      </c>
      <c r="M5" s="1"/>
      <c r="N5" s="7">
        <f>(J6/J5)-1</f>
        <v>-7.5353079632517916E-2</v>
      </c>
      <c r="O5" s="1"/>
      <c r="P5" s="1"/>
      <c r="Q5" s="2"/>
      <c r="R5" s="2"/>
    </row>
    <row r="6" spans="1:18" s="54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7">
        <f>E68</f>
        <v>36.135201647961196</v>
      </c>
      <c r="K6" s="1"/>
      <c r="L6" s="1"/>
      <c r="M6" s="1"/>
      <c r="N6" s="1"/>
      <c r="O6" s="1"/>
      <c r="P6" s="1"/>
      <c r="Q6" s="1"/>
      <c r="R6" s="2"/>
    </row>
    <row r="7" spans="1:18" s="54" customFormat="1" x14ac:dyDescent="0.25">
      <c r="A7" s="1"/>
      <c r="B7" s="1"/>
      <c r="C7" s="1"/>
      <c r="D7" s="1"/>
      <c r="E7" s="9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2"/>
    </row>
    <row r="8" spans="1:18" s="54" customFormat="1" x14ac:dyDescent="0.25">
      <c r="A8" s="1"/>
      <c r="B8" s="1"/>
      <c r="C8" s="1"/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s="54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4" customFormat="1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4">
        <v>2023</v>
      </c>
      <c r="J10" s="75">
        <v>2024</v>
      </c>
      <c r="K10" s="75">
        <v>2025</v>
      </c>
      <c r="L10" s="75">
        <v>2026</v>
      </c>
      <c r="M10" s="75">
        <v>2027</v>
      </c>
      <c r="N10" s="75">
        <v>2028</v>
      </c>
      <c r="O10" s="75">
        <v>2029</v>
      </c>
      <c r="P10" s="75">
        <v>2030</v>
      </c>
      <c r="Q10" s="75">
        <v>2031</v>
      </c>
      <c r="R10" s="75">
        <v>2032</v>
      </c>
    </row>
    <row r="11" spans="1:18" s="54" customFormat="1" x14ac:dyDescent="0.25">
      <c r="A11" s="1"/>
      <c r="B11" s="1" t="s">
        <v>7</v>
      </c>
      <c r="C11" s="12">
        <v>972046</v>
      </c>
      <c r="D11" s="12">
        <v>1158794</v>
      </c>
      <c r="E11" s="12">
        <v>1362496</v>
      </c>
      <c r="F11" s="12">
        <v>2380071</v>
      </c>
      <c r="G11" s="12">
        <v>3105891</v>
      </c>
      <c r="H11" s="12">
        <v>3316616</v>
      </c>
      <c r="I11" s="22">
        <f>H11*(1+I12)</f>
        <v>5100955.4079999998</v>
      </c>
      <c r="J11" s="2">
        <f t="shared" ref="J11:K11" si="1">I11*(1+J12)</f>
        <v>4870000</v>
      </c>
      <c r="K11" s="2">
        <f t="shared" si="1"/>
        <v>5400000</v>
      </c>
      <c r="L11" s="2">
        <f t="shared" ref="L11:R11" si="2">K11*(1+L12)</f>
        <v>5832000</v>
      </c>
      <c r="M11" s="2">
        <f t="shared" si="2"/>
        <v>6298560</v>
      </c>
      <c r="N11" s="2">
        <f t="shared" si="2"/>
        <v>6802444.8000000007</v>
      </c>
      <c r="O11" s="2">
        <f t="shared" si="2"/>
        <v>7346640.3840000015</v>
      </c>
      <c r="P11" s="2">
        <f t="shared" si="2"/>
        <v>7934371.6147200018</v>
      </c>
      <c r="Q11" s="2">
        <f t="shared" si="2"/>
        <v>8569121.3438976035</v>
      </c>
      <c r="R11" s="28">
        <f t="shared" si="2"/>
        <v>9254651.0514094122</v>
      </c>
    </row>
    <row r="12" spans="1:18" s="54" customFormat="1" x14ac:dyDescent="0.25">
      <c r="A12" s="1"/>
      <c r="B12" s="67" t="s">
        <v>8</v>
      </c>
      <c r="C12" s="68"/>
      <c r="D12" s="68">
        <f>(D11/C11)-1</f>
        <v>0.19211847998963005</v>
      </c>
      <c r="E12" s="68">
        <f>(E11/D11)-1</f>
        <v>0.17578793124576064</v>
      </c>
      <c r="F12" s="68">
        <f>(F11/E11)-1</f>
        <v>0.74684622927333355</v>
      </c>
      <c r="G12" s="68">
        <f>(G11/F11)-1</f>
        <v>0.30495728908927511</v>
      </c>
      <c r="H12" s="68">
        <f>(H11/G11)-1</f>
        <v>6.7846875502070025E-2</v>
      </c>
      <c r="I12" s="84">
        <v>0.53800000000000003</v>
      </c>
      <c r="J12" s="85">
        <v>-4.5276892175490246E-2</v>
      </c>
      <c r="K12" s="85">
        <v>0.10882956878850103</v>
      </c>
      <c r="L12" s="85">
        <v>0.08</v>
      </c>
      <c r="M12" s="85">
        <v>0.08</v>
      </c>
      <c r="N12" s="85">
        <v>0.08</v>
      </c>
      <c r="O12" s="85">
        <v>0.08</v>
      </c>
      <c r="P12" s="85">
        <v>0.08</v>
      </c>
      <c r="Q12" s="85">
        <v>0.08</v>
      </c>
      <c r="R12" s="85">
        <v>0.08</v>
      </c>
    </row>
    <row r="13" spans="1:18" s="54" customFormat="1" x14ac:dyDescent="0.25">
      <c r="A13" s="1"/>
      <c r="B13" s="6"/>
      <c r="C13" s="1"/>
      <c r="D13" s="1"/>
      <c r="E13" s="1"/>
      <c r="F13" s="1"/>
      <c r="G13" s="1"/>
      <c r="H13" s="1"/>
      <c r="I13" s="22"/>
      <c r="J13" s="2"/>
      <c r="K13" s="2"/>
      <c r="L13" s="2"/>
      <c r="M13" s="2"/>
      <c r="N13" s="2"/>
      <c r="O13" s="2"/>
      <c r="P13" s="2"/>
      <c r="Q13" s="2"/>
      <c r="R13" s="2"/>
    </row>
    <row r="14" spans="1:18" s="54" customFormat="1" x14ac:dyDescent="0.25">
      <c r="A14" s="1"/>
      <c r="B14" s="1" t="s">
        <v>9</v>
      </c>
      <c r="C14" s="12">
        <v>583684</v>
      </c>
      <c r="D14" s="12">
        <v>696591</v>
      </c>
      <c r="E14" s="12">
        <v>841147</v>
      </c>
      <c r="F14" s="12">
        <v>1588890</v>
      </c>
      <c r="G14" s="12">
        <v>1928432</v>
      </c>
      <c r="H14" s="12">
        <v>2051120</v>
      </c>
      <c r="I14" s="78">
        <f t="shared" ref="I14:R14" si="3">I11-I16</f>
        <v>3130456.3338895999</v>
      </c>
      <c r="J14" s="42">
        <f t="shared" si="3"/>
        <v>3025731</v>
      </c>
      <c r="K14" s="42">
        <f t="shared" si="3"/>
        <v>3216780</v>
      </c>
      <c r="L14" s="42">
        <f t="shared" si="3"/>
        <v>3456626.4</v>
      </c>
      <c r="M14" s="42">
        <f t="shared" si="3"/>
        <v>3714260.8319999999</v>
      </c>
      <c r="N14" s="42">
        <f t="shared" si="3"/>
        <v>3990994.3641600003</v>
      </c>
      <c r="O14" s="42">
        <f t="shared" si="3"/>
        <v>4288233.9921408007</v>
      </c>
      <c r="P14" s="42">
        <f t="shared" si="3"/>
        <v>4607489.5966679044</v>
      </c>
      <c r="Q14" s="42">
        <f t="shared" si="3"/>
        <v>4950381.400369646</v>
      </c>
      <c r="R14" s="79">
        <f t="shared" si="3"/>
        <v>5318647.9592449889</v>
      </c>
    </row>
    <row r="15" spans="1:18" s="54" customFormat="1" x14ac:dyDescent="0.25">
      <c r="A15" s="1"/>
      <c r="B15" s="18"/>
      <c r="C15" s="18"/>
      <c r="D15" s="18"/>
      <c r="E15" s="18"/>
      <c r="F15" s="18"/>
      <c r="G15" s="18"/>
      <c r="H15" s="18"/>
      <c r="I15" s="22"/>
      <c r="J15" s="2"/>
      <c r="K15" s="2"/>
      <c r="L15" s="2"/>
      <c r="M15" s="2"/>
      <c r="N15" s="2"/>
      <c r="O15" s="2"/>
      <c r="P15" s="2"/>
      <c r="Q15" s="2"/>
      <c r="R15" s="2"/>
    </row>
    <row r="16" spans="1:18" s="54" customFormat="1" x14ac:dyDescent="0.25">
      <c r="A16" s="1"/>
      <c r="B16" s="1" t="s">
        <v>10</v>
      </c>
      <c r="C16" s="12">
        <f t="shared" ref="C16:H16" si="4">C11-C14</f>
        <v>388362</v>
      </c>
      <c r="D16" s="12">
        <f t="shared" si="4"/>
        <v>462203</v>
      </c>
      <c r="E16" s="12">
        <f t="shared" si="4"/>
        <v>521349</v>
      </c>
      <c r="F16" s="12">
        <f t="shared" si="4"/>
        <v>791181</v>
      </c>
      <c r="G16" s="12">
        <f t="shared" si="4"/>
        <v>1177459</v>
      </c>
      <c r="H16" s="12">
        <f t="shared" si="4"/>
        <v>1265496</v>
      </c>
      <c r="I16" s="80">
        <f>I11*I17</f>
        <v>1970499.0741103997</v>
      </c>
      <c r="J16" s="28">
        <f t="shared" ref="J16:R16" si="5">J11*J17</f>
        <v>1844269</v>
      </c>
      <c r="K16" s="28">
        <f>K11*K17</f>
        <v>2183220</v>
      </c>
      <c r="L16" s="28">
        <f t="shared" si="5"/>
        <v>2375373.6</v>
      </c>
      <c r="M16" s="28">
        <f t="shared" si="5"/>
        <v>2584299.1680000001</v>
      </c>
      <c r="N16" s="28">
        <f t="shared" si="5"/>
        <v>2811450.4358400004</v>
      </c>
      <c r="O16" s="28">
        <f t="shared" si="5"/>
        <v>3058406.3918592008</v>
      </c>
      <c r="P16" s="28">
        <f t="shared" si="5"/>
        <v>3326882.0180520969</v>
      </c>
      <c r="Q16" s="28">
        <f t="shared" si="5"/>
        <v>3618739.9435279579</v>
      </c>
      <c r="R16" s="28">
        <f t="shared" si="5"/>
        <v>3936003.0921644233</v>
      </c>
    </row>
    <row r="17" spans="1:18" s="54" customFormat="1" x14ac:dyDescent="0.25">
      <c r="A17" s="1"/>
      <c r="B17" s="67" t="s">
        <v>11</v>
      </c>
      <c r="C17" s="68">
        <f t="shared" ref="C17:H17" si="6">C16/C11</f>
        <v>0.39953047489522103</v>
      </c>
      <c r="D17" s="68">
        <f t="shared" si="6"/>
        <v>0.39886554469560592</v>
      </c>
      <c r="E17" s="68">
        <f t="shared" si="6"/>
        <v>0.38264259124430455</v>
      </c>
      <c r="F17" s="68">
        <f t="shared" si="6"/>
        <v>0.33241907489314393</v>
      </c>
      <c r="G17" s="68">
        <f t="shared" si="6"/>
        <v>0.37910506196128585</v>
      </c>
      <c r="H17" s="68">
        <f t="shared" si="6"/>
        <v>0.38156241180769795</v>
      </c>
      <c r="I17" s="86">
        <v>0.38629999999999998</v>
      </c>
      <c r="J17" s="87">
        <v>0.37869999999999998</v>
      </c>
      <c r="K17" s="87">
        <v>0.40429999999999999</v>
      </c>
      <c r="L17" s="87">
        <f>K17+0.3%</f>
        <v>0.4073</v>
      </c>
      <c r="M17" s="87">
        <f t="shared" ref="M17:R17" si="7">L17+0.3%</f>
        <v>0.4103</v>
      </c>
      <c r="N17" s="87">
        <f t="shared" si="7"/>
        <v>0.4133</v>
      </c>
      <c r="O17" s="87">
        <f t="shared" si="7"/>
        <v>0.4163</v>
      </c>
      <c r="P17" s="87">
        <f t="shared" si="7"/>
        <v>0.41930000000000001</v>
      </c>
      <c r="Q17" s="87">
        <f t="shared" si="7"/>
        <v>0.42230000000000001</v>
      </c>
      <c r="R17" s="87">
        <f t="shared" si="7"/>
        <v>0.42530000000000001</v>
      </c>
    </row>
    <row r="18" spans="1:18" s="54" customFormat="1" x14ac:dyDescent="0.25">
      <c r="A18" s="1"/>
      <c r="B18" s="6"/>
      <c r="C18" s="1"/>
      <c r="D18" s="1"/>
      <c r="E18" s="1"/>
      <c r="F18" s="1"/>
      <c r="G18" s="1"/>
      <c r="H18" s="1"/>
      <c r="I18" s="22"/>
      <c r="J18" s="2"/>
      <c r="K18" s="2"/>
      <c r="L18" s="2"/>
      <c r="M18" s="2"/>
      <c r="N18" s="2"/>
      <c r="O18" s="2"/>
      <c r="P18" s="2"/>
      <c r="Q18" s="2"/>
      <c r="R18" s="2"/>
    </row>
    <row r="19" spans="1:18" s="54" customFormat="1" x14ac:dyDescent="0.25">
      <c r="A19" s="1"/>
      <c r="B19" s="1" t="s">
        <v>12</v>
      </c>
      <c r="C19" s="12">
        <v>96806</v>
      </c>
      <c r="D19" s="12">
        <v>116875</v>
      </c>
      <c r="E19" s="12">
        <v>139163</v>
      </c>
      <c r="F19" s="12">
        <v>339073</v>
      </c>
      <c r="G19" s="12">
        <v>330105</v>
      </c>
      <c r="H19" s="12">
        <v>377106</v>
      </c>
      <c r="I19" s="80">
        <f>I20*I11</f>
        <v>907970.0626239999</v>
      </c>
      <c r="J19" s="28">
        <f t="shared" ref="J19:R19" si="8">J20*J11</f>
        <v>891210</v>
      </c>
      <c r="K19" s="28">
        <f t="shared" si="8"/>
        <v>950400</v>
      </c>
      <c r="L19" s="28">
        <f t="shared" si="8"/>
        <v>991439.99999999988</v>
      </c>
      <c r="M19" s="28">
        <f t="shared" si="8"/>
        <v>1032963.8399999999</v>
      </c>
      <c r="N19" s="28">
        <f t="shared" si="8"/>
        <v>1074786.2784</v>
      </c>
      <c r="O19" s="28">
        <f t="shared" si="8"/>
        <v>1116689.338368</v>
      </c>
      <c r="P19" s="28">
        <f t="shared" si="8"/>
        <v>1158418.2557491199</v>
      </c>
      <c r="Q19" s="28">
        <f t="shared" si="8"/>
        <v>1199676.9881456641</v>
      </c>
      <c r="R19" s="28">
        <f t="shared" si="8"/>
        <v>1240123.2408888608</v>
      </c>
    </row>
    <row r="20" spans="1:18" s="54" customFormat="1" x14ac:dyDescent="0.25">
      <c r="A20" s="1"/>
      <c r="B20" s="67" t="s">
        <v>18</v>
      </c>
      <c r="C20" s="68">
        <f>C19/C11</f>
        <v>9.9589937101742104E-2</v>
      </c>
      <c r="D20" s="68">
        <f t="shared" ref="D20:H20" si="9">D19/D11</f>
        <v>0.10085916910166949</v>
      </c>
      <c r="E20" s="68">
        <f t="shared" si="9"/>
        <v>0.10213828150688149</v>
      </c>
      <c r="F20" s="68">
        <f t="shared" si="9"/>
        <v>0.14246339710033859</v>
      </c>
      <c r="G20" s="68">
        <f t="shared" si="9"/>
        <v>0.1062835109152253</v>
      </c>
      <c r="H20" s="68">
        <f t="shared" si="9"/>
        <v>0.11370203846330115</v>
      </c>
      <c r="I20" s="84">
        <v>0.17799999999999999</v>
      </c>
      <c r="J20" s="85">
        <v>0.183</v>
      </c>
      <c r="K20" s="85">
        <v>0.17599999999999999</v>
      </c>
      <c r="L20" s="85">
        <f>K20-0.6%</f>
        <v>0.16999999999999998</v>
      </c>
      <c r="M20" s="85">
        <f t="shared" ref="M20:R20" si="10">L20-0.6%</f>
        <v>0.16399999999999998</v>
      </c>
      <c r="N20" s="85">
        <f t="shared" si="10"/>
        <v>0.15799999999999997</v>
      </c>
      <c r="O20" s="85">
        <f t="shared" si="10"/>
        <v>0.15199999999999997</v>
      </c>
      <c r="P20" s="85">
        <f t="shared" si="10"/>
        <v>0.14599999999999996</v>
      </c>
      <c r="Q20" s="85">
        <f t="shared" si="10"/>
        <v>0.13999999999999996</v>
      </c>
      <c r="R20" s="85">
        <f t="shared" si="10"/>
        <v>0.13399999999999995</v>
      </c>
    </row>
    <row r="21" spans="1:18" s="54" customFormat="1" x14ac:dyDescent="0.25">
      <c r="A21" s="1"/>
      <c r="B21" s="1"/>
      <c r="C21" s="20"/>
      <c r="D21" s="20"/>
      <c r="E21" s="20"/>
      <c r="F21" s="20"/>
      <c r="G21" s="20"/>
      <c r="H21" s="20"/>
      <c r="I21" s="80"/>
      <c r="J21" s="28"/>
      <c r="K21" s="28"/>
      <c r="L21" s="28"/>
      <c r="M21" s="28"/>
      <c r="N21" s="28"/>
      <c r="O21" s="28"/>
      <c r="P21" s="28"/>
      <c r="Q21" s="28"/>
      <c r="R21" s="28"/>
    </row>
    <row r="22" spans="1:18" s="54" customFormat="1" x14ac:dyDescent="0.25">
      <c r="A22" s="1"/>
      <c r="B22" s="1" t="s">
        <v>41</v>
      </c>
      <c r="C22" s="12">
        <v>176000</v>
      </c>
      <c r="D22" s="12">
        <v>208565</v>
      </c>
      <c r="E22" s="12">
        <v>233518</v>
      </c>
      <c r="F22" s="12">
        <v>412629</v>
      </c>
      <c r="G22" s="12">
        <v>445235</v>
      </c>
      <c r="H22" s="12">
        <v>474096</v>
      </c>
      <c r="I22" s="80">
        <f>I23*I11</f>
        <v>969181.52752</v>
      </c>
      <c r="J22" s="28">
        <f t="shared" ref="J22:R22" si="11">J23*J11</f>
        <v>998349.99999999988</v>
      </c>
      <c r="K22" s="28">
        <f t="shared" si="11"/>
        <v>1080000</v>
      </c>
      <c r="L22" s="28">
        <f t="shared" si="11"/>
        <v>1131408</v>
      </c>
      <c r="M22" s="28">
        <f t="shared" si="11"/>
        <v>1184129.28</v>
      </c>
      <c r="N22" s="28">
        <f t="shared" si="11"/>
        <v>1238044.9536000001</v>
      </c>
      <c r="O22" s="28">
        <f t="shared" si="11"/>
        <v>1293008.7075840002</v>
      </c>
      <c r="P22" s="28">
        <f t="shared" si="11"/>
        <v>1348843.1745024002</v>
      </c>
      <c r="Q22" s="28">
        <f t="shared" si="11"/>
        <v>1405335.9003992067</v>
      </c>
      <c r="R22" s="28">
        <f t="shared" si="11"/>
        <v>1462234.8661226868</v>
      </c>
    </row>
    <row r="23" spans="1:18" s="54" customFormat="1" x14ac:dyDescent="0.25">
      <c r="A23" s="1"/>
      <c r="B23" s="67" t="s">
        <v>18</v>
      </c>
      <c r="C23" s="68">
        <f>C22/C11</f>
        <v>0.18106139009882249</v>
      </c>
      <c r="D23" s="68">
        <f t="shared" ref="D23:H23" si="12">D22/D11</f>
        <v>0.17998453564654288</v>
      </c>
      <c r="E23" s="68">
        <f t="shared" si="12"/>
        <v>0.17138986096105971</v>
      </c>
      <c r="F23" s="68">
        <f t="shared" si="12"/>
        <v>0.17336835749857882</v>
      </c>
      <c r="G23" s="68">
        <f t="shared" si="12"/>
        <v>0.14335177892591852</v>
      </c>
      <c r="H23" s="68">
        <f t="shared" si="12"/>
        <v>0.14294570128106479</v>
      </c>
      <c r="I23" s="88">
        <v>0.19</v>
      </c>
      <c r="J23" s="89">
        <v>0.20499999999999999</v>
      </c>
      <c r="K23" s="89">
        <v>0.2</v>
      </c>
      <c r="L23" s="89">
        <f>K23-0.6%</f>
        <v>0.19400000000000001</v>
      </c>
      <c r="M23" s="89">
        <f t="shared" ref="M23:R23" si="13">L23-0.6%</f>
        <v>0.188</v>
      </c>
      <c r="N23" s="89">
        <f t="shared" si="13"/>
        <v>0.182</v>
      </c>
      <c r="O23" s="89">
        <f t="shared" si="13"/>
        <v>0.17599999999999999</v>
      </c>
      <c r="P23" s="89">
        <f t="shared" si="13"/>
        <v>0.16999999999999998</v>
      </c>
      <c r="Q23" s="89">
        <f t="shared" si="13"/>
        <v>0.16399999999999998</v>
      </c>
      <c r="R23" s="89">
        <f t="shared" si="13"/>
        <v>0.15799999999999997</v>
      </c>
    </row>
    <row r="24" spans="1:18" s="54" customFormat="1" x14ac:dyDescent="0.25">
      <c r="A24" s="1"/>
      <c r="B24" s="1"/>
      <c r="C24" s="20"/>
      <c r="D24" s="20"/>
      <c r="E24" s="20"/>
      <c r="F24" s="20"/>
      <c r="G24" s="20"/>
      <c r="H24" s="20"/>
      <c r="I24" s="80"/>
      <c r="J24" s="28"/>
      <c r="K24" s="28"/>
      <c r="L24" s="28"/>
      <c r="M24" s="28"/>
      <c r="N24" s="28"/>
      <c r="O24" s="28"/>
      <c r="P24" s="28"/>
      <c r="Q24" s="28"/>
      <c r="R24" s="28"/>
    </row>
    <row r="25" spans="1:18" s="54" customFormat="1" x14ac:dyDescent="0.25">
      <c r="A25" s="1"/>
      <c r="B25" s="1" t="s">
        <v>42</v>
      </c>
      <c r="C25" s="12">
        <v>6809</v>
      </c>
      <c r="D25" s="12">
        <v>18352</v>
      </c>
      <c r="E25" s="12">
        <v>22417</v>
      </c>
      <c r="F25" s="12">
        <v>89409</v>
      </c>
      <c r="G25" s="12">
        <v>59899</v>
      </c>
      <c r="H25" s="12">
        <v>121254</v>
      </c>
      <c r="I25" s="80">
        <f>I26*I11</f>
        <v>255047.77040000001</v>
      </c>
      <c r="J25" s="28">
        <f t="shared" ref="J25:R25" si="14">J26*J11</f>
        <v>243500</v>
      </c>
      <c r="K25" s="28">
        <f t="shared" si="14"/>
        <v>199800</v>
      </c>
      <c r="L25" s="28">
        <f t="shared" si="14"/>
        <v>215784</v>
      </c>
      <c r="M25" s="28">
        <f t="shared" si="14"/>
        <v>233046.72</v>
      </c>
      <c r="N25" s="28">
        <f t="shared" si="14"/>
        <v>251690.45760000002</v>
      </c>
      <c r="O25" s="28">
        <f t="shared" si="14"/>
        <v>271825.69420800003</v>
      </c>
      <c r="P25" s="28">
        <f t="shared" si="14"/>
        <v>293571.74974464008</v>
      </c>
      <c r="Q25" s="28">
        <f t="shared" si="14"/>
        <v>317057.48972421134</v>
      </c>
      <c r="R25" s="28">
        <f t="shared" si="14"/>
        <v>342422.08890214824</v>
      </c>
    </row>
    <row r="26" spans="1:18" s="54" customFormat="1" x14ac:dyDescent="0.25">
      <c r="A26" s="1"/>
      <c r="B26" s="67" t="s">
        <v>18</v>
      </c>
      <c r="C26" s="68">
        <f>C25/C11</f>
        <v>7.0048125294481945E-3</v>
      </c>
      <c r="D26" s="68">
        <f t="shared" ref="D26:H26" si="15">D25/D11</f>
        <v>1.5837154835113058E-2</v>
      </c>
      <c r="E26" s="68">
        <f t="shared" si="15"/>
        <v>1.6452892338766498E-2</v>
      </c>
      <c r="F26" s="68">
        <f t="shared" si="15"/>
        <v>3.7565686065667792E-2</v>
      </c>
      <c r="G26" s="68">
        <f t="shared" si="15"/>
        <v>1.9285609185898667E-2</v>
      </c>
      <c r="H26" s="68">
        <f t="shared" si="15"/>
        <v>3.6559553472575661E-2</v>
      </c>
      <c r="I26" s="88">
        <v>0.05</v>
      </c>
      <c r="J26" s="89">
        <v>0.05</v>
      </c>
      <c r="K26" s="89">
        <v>3.6999999999999998E-2</v>
      </c>
      <c r="L26" s="89">
        <f>K26</f>
        <v>3.6999999999999998E-2</v>
      </c>
      <c r="M26" s="89">
        <f t="shared" ref="M26:R26" si="16">L26</f>
        <v>3.6999999999999998E-2</v>
      </c>
      <c r="N26" s="89">
        <f t="shared" si="16"/>
        <v>3.6999999999999998E-2</v>
      </c>
      <c r="O26" s="89">
        <f t="shared" si="16"/>
        <v>3.6999999999999998E-2</v>
      </c>
      <c r="P26" s="89">
        <f t="shared" si="16"/>
        <v>3.6999999999999998E-2</v>
      </c>
      <c r="Q26" s="89">
        <f t="shared" si="16"/>
        <v>3.6999999999999998E-2</v>
      </c>
      <c r="R26" s="89">
        <f t="shared" si="16"/>
        <v>3.6999999999999998E-2</v>
      </c>
    </row>
    <row r="27" spans="1:18" s="54" customFormat="1" x14ac:dyDescent="0.25">
      <c r="A27" s="1"/>
      <c r="B27" s="1"/>
      <c r="C27" s="20"/>
      <c r="D27" s="20"/>
      <c r="E27" s="20"/>
      <c r="F27" s="20"/>
      <c r="G27" s="20"/>
      <c r="H27" s="20"/>
      <c r="I27" s="80"/>
      <c r="J27" s="28"/>
      <c r="K27" s="28"/>
      <c r="L27" s="28"/>
      <c r="M27" s="28"/>
      <c r="N27" s="28"/>
      <c r="O27" s="28"/>
      <c r="P27" s="28"/>
      <c r="Q27" s="28"/>
      <c r="R27" s="28"/>
    </row>
    <row r="28" spans="1:18" s="54" customFormat="1" x14ac:dyDescent="0.25">
      <c r="A28" s="1"/>
      <c r="B28" s="1" t="s">
        <v>13</v>
      </c>
      <c r="C28" s="12">
        <v>-10041</v>
      </c>
      <c r="D28" s="12">
        <v>-3783</v>
      </c>
      <c r="E28" s="12">
        <v>-2562</v>
      </c>
      <c r="F28" s="12">
        <v>13998</v>
      </c>
      <c r="G28" s="12">
        <v>-10370</v>
      </c>
      <c r="H28" s="12">
        <v>11233</v>
      </c>
      <c r="I28" s="81">
        <f>I29*I11</f>
        <v>102019.10816</v>
      </c>
      <c r="J28" s="23">
        <f t="shared" ref="J28:R28" si="17">J29*J11</f>
        <v>14610</v>
      </c>
      <c r="K28" s="23">
        <f t="shared" si="17"/>
        <v>16200</v>
      </c>
      <c r="L28" s="23">
        <f t="shared" si="17"/>
        <v>17496</v>
      </c>
      <c r="M28" s="23">
        <f t="shared" si="17"/>
        <v>18895.68</v>
      </c>
      <c r="N28" s="23">
        <f t="shared" si="17"/>
        <v>20407.334400000003</v>
      </c>
      <c r="O28" s="23">
        <f t="shared" si="17"/>
        <v>22039.921152000006</v>
      </c>
      <c r="P28" s="23">
        <f t="shared" si="17"/>
        <v>23803.114844160005</v>
      </c>
      <c r="Q28" s="23">
        <f t="shared" si="17"/>
        <v>25707.36403169281</v>
      </c>
      <c r="R28" s="23">
        <f t="shared" si="17"/>
        <v>27763.953154228238</v>
      </c>
    </row>
    <row r="29" spans="1:18" s="54" customFormat="1" x14ac:dyDescent="0.25">
      <c r="A29" s="1"/>
      <c r="B29" s="67" t="s">
        <v>18</v>
      </c>
      <c r="C29" s="68">
        <f>C28/C11</f>
        <v>-1.0329758056717481E-2</v>
      </c>
      <c r="D29" s="68">
        <f t="shared" ref="D29:H29" si="18">D28/D11</f>
        <v>-3.2646009558213109E-3</v>
      </c>
      <c r="E29" s="68">
        <f t="shared" si="18"/>
        <v>-1.8803724928366761E-3</v>
      </c>
      <c r="F29" s="68">
        <f t="shared" si="18"/>
        <v>5.8813371533874411E-3</v>
      </c>
      <c r="G29" s="68">
        <f t="shared" si="18"/>
        <v>-3.3388164620071987E-3</v>
      </c>
      <c r="H29" s="68">
        <f t="shared" si="18"/>
        <v>3.3868859102169197E-3</v>
      </c>
      <c r="I29" s="90">
        <v>0.02</v>
      </c>
      <c r="J29" s="91">
        <v>3.0000000000000001E-3</v>
      </c>
      <c r="K29" s="91">
        <v>3.0000000000000001E-3</v>
      </c>
      <c r="L29" s="91">
        <v>3.0000000000000001E-3</v>
      </c>
      <c r="M29" s="91">
        <v>3.0000000000000001E-3</v>
      </c>
      <c r="N29" s="91">
        <v>3.0000000000000001E-3</v>
      </c>
      <c r="O29" s="91">
        <v>3.0000000000000001E-3</v>
      </c>
      <c r="P29" s="91">
        <v>3.0000000000000001E-3</v>
      </c>
      <c r="Q29" s="91">
        <v>3.0000000000000001E-3</v>
      </c>
      <c r="R29" s="91">
        <v>3.0000000000000001E-3</v>
      </c>
    </row>
    <row r="30" spans="1:18" s="54" customFormat="1" x14ac:dyDescent="0.25">
      <c r="A30" s="1"/>
      <c r="B30" s="1"/>
      <c r="C30" s="20"/>
      <c r="D30" s="20"/>
      <c r="E30" s="20"/>
      <c r="F30" s="20"/>
      <c r="G30" s="20"/>
      <c r="H30" s="20"/>
      <c r="I30" s="22"/>
      <c r="J30" s="2"/>
      <c r="K30" s="2"/>
      <c r="L30" s="2"/>
      <c r="M30" s="2"/>
      <c r="N30" s="2"/>
      <c r="O30" s="2"/>
      <c r="P30" s="2"/>
      <c r="Q30" s="2"/>
      <c r="R30" s="2"/>
    </row>
    <row r="31" spans="1:18" s="54" customFormat="1" x14ac:dyDescent="0.25">
      <c r="A31" s="1"/>
      <c r="B31" s="1" t="s">
        <v>14</v>
      </c>
      <c r="C31" s="12">
        <f t="shared" ref="C31:I31" si="19">SUM(C19:C28)</f>
        <v>269574.28765613976</v>
      </c>
      <c r="D31" s="12">
        <f t="shared" si="19"/>
        <v>340009.29668085958</v>
      </c>
      <c r="E31" s="12">
        <f t="shared" si="19"/>
        <v>392536.28998103482</v>
      </c>
      <c r="F31" s="12">
        <f t="shared" si="19"/>
        <v>855109.35339744063</v>
      </c>
      <c r="G31" s="12">
        <f t="shared" si="19"/>
        <v>824869.26892089902</v>
      </c>
      <c r="H31" s="12">
        <f t="shared" si="19"/>
        <v>983689.29320729326</v>
      </c>
      <c r="I31" s="81">
        <f t="shared" si="19"/>
        <v>2234218.8867039992</v>
      </c>
      <c r="J31" s="23">
        <f t="shared" ref="J31:R31" si="20">SUM(J19:J28)</f>
        <v>2147670.4379999996</v>
      </c>
      <c r="K31" s="23">
        <f t="shared" si="20"/>
        <v>2246400.4130000002</v>
      </c>
      <c r="L31" s="23">
        <f t="shared" si="20"/>
        <v>2356128.4010000001</v>
      </c>
      <c r="M31" s="23">
        <f t="shared" si="20"/>
        <v>2469035.9090000005</v>
      </c>
      <c r="N31" s="23">
        <f t="shared" si="20"/>
        <v>2584929.4010000001</v>
      </c>
      <c r="O31" s="23">
        <f t="shared" si="20"/>
        <v>2703564.0263120001</v>
      </c>
      <c r="P31" s="23">
        <f t="shared" si="20"/>
        <v>2824636.6478403201</v>
      </c>
      <c r="Q31" s="23">
        <f t="shared" si="20"/>
        <v>2947778.0833007749</v>
      </c>
      <c r="R31" s="23">
        <f t="shared" si="20"/>
        <v>3072544.4780679243</v>
      </c>
    </row>
    <row r="32" spans="1:18" s="54" customFormat="1" x14ac:dyDescent="0.25">
      <c r="A32" s="1"/>
      <c r="B32" s="67" t="s">
        <v>18</v>
      </c>
      <c r="C32" s="68">
        <f t="shared" ref="C32:R32" si="21">C31/C11</f>
        <v>0.27732667760182106</v>
      </c>
      <c r="D32" s="68">
        <f t="shared" si="21"/>
        <v>0.29341651465304408</v>
      </c>
      <c r="E32" s="68">
        <f t="shared" si="21"/>
        <v>0.28810087514461313</v>
      </c>
      <c r="F32" s="68">
        <f t="shared" si="21"/>
        <v>0.35927892629986274</v>
      </c>
      <c r="G32" s="68">
        <f t="shared" si="21"/>
        <v>0.2655821691491746</v>
      </c>
      <c r="H32" s="68">
        <f t="shared" si="21"/>
        <v>0.29659426753271806</v>
      </c>
      <c r="I32" s="84">
        <f t="shared" si="21"/>
        <v>0.43800008194543294</v>
      </c>
      <c r="J32" s="85">
        <f t="shared" si="21"/>
        <v>0.44100008993839829</v>
      </c>
      <c r="K32" s="85">
        <f t="shared" si="21"/>
        <v>0.41600007648148152</v>
      </c>
      <c r="L32" s="85">
        <f t="shared" si="21"/>
        <v>0.40400006875857342</v>
      </c>
      <c r="M32" s="85">
        <f t="shared" si="21"/>
        <v>0.3920000617601484</v>
      </c>
      <c r="N32" s="85">
        <f t="shared" si="21"/>
        <v>0.38000005542125087</v>
      </c>
      <c r="O32" s="85">
        <f t="shared" si="21"/>
        <v>0.36800004968257333</v>
      </c>
      <c r="P32" s="85">
        <f t="shared" si="21"/>
        <v>0.35600004448997558</v>
      </c>
      <c r="Q32" s="85">
        <f t="shared" si="21"/>
        <v>0.34400003979404487</v>
      </c>
      <c r="R32" s="85">
        <f t="shared" si="21"/>
        <v>0.33200003554969254</v>
      </c>
    </row>
    <row r="33" spans="1:86" s="54" customFormat="1" x14ac:dyDescent="0.25">
      <c r="A33" s="1"/>
      <c r="B33" s="1"/>
      <c r="C33" s="15"/>
      <c r="D33" s="15"/>
      <c r="E33" s="15"/>
      <c r="F33" s="15"/>
      <c r="G33" s="15"/>
      <c r="H33" s="15"/>
      <c r="I33" s="76"/>
      <c r="J33" s="77"/>
      <c r="K33" s="77"/>
      <c r="L33" s="77"/>
      <c r="M33" s="77"/>
      <c r="N33" s="77"/>
      <c r="O33" s="77"/>
      <c r="P33" s="77"/>
      <c r="Q33" s="77"/>
      <c r="R33" s="77"/>
    </row>
    <row r="34" spans="1:86" s="54" customFormat="1" x14ac:dyDescent="0.25">
      <c r="A34" s="1"/>
      <c r="B34" s="1" t="s">
        <v>15</v>
      </c>
      <c r="C34" s="12">
        <f t="shared" ref="C34:H34" si="22">C16-C19-C22</f>
        <v>115556</v>
      </c>
      <c r="D34" s="12">
        <f t="shared" si="22"/>
        <v>136763</v>
      </c>
      <c r="E34" s="12">
        <f t="shared" si="22"/>
        <v>148668</v>
      </c>
      <c r="F34" s="12">
        <f t="shared" si="22"/>
        <v>39479</v>
      </c>
      <c r="G34" s="12">
        <f t="shared" si="22"/>
        <v>402119</v>
      </c>
      <c r="H34" s="12">
        <f t="shared" si="22"/>
        <v>414294</v>
      </c>
      <c r="I34" s="81">
        <f>I16-I19-I22</f>
        <v>93347.483966399916</v>
      </c>
      <c r="J34" s="23">
        <f t="shared" ref="J34:R34" si="23">J16-J19-J22</f>
        <v>-45290.999999999884</v>
      </c>
      <c r="K34" s="23">
        <f>K16-K19-K22</f>
        <v>152820</v>
      </c>
      <c r="L34" s="23">
        <f t="shared" si="23"/>
        <v>252525.60000000009</v>
      </c>
      <c r="M34" s="23">
        <f t="shared" si="23"/>
        <v>367206.04800000018</v>
      </c>
      <c r="N34" s="23">
        <f t="shared" si="23"/>
        <v>498619.20384000032</v>
      </c>
      <c r="O34" s="23">
        <f t="shared" si="23"/>
        <v>648708.34590720059</v>
      </c>
      <c r="P34" s="23">
        <f t="shared" si="23"/>
        <v>819620.58780057682</v>
      </c>
      <c r="Q34" s="23">
        <f t="shared" si="23"/>
        <v>1013727.0549830873</v>
      </c>
      <c r="R34" s="23">
        <f t="shared" si="23"/>
        <v>1233644.9851528755</v>
      </c>
    </row>
    <row r="35" spans="1:86" s="54" customFormat="1" x14ac:dyDescent="0.25">
      <c r="A35" s="1"/>
      <c r="B35" s="1"/>
      <c r="C35" s="21"/>
      <c r="D35" s="21"/>
      <c r="E35" s="21"/>
      <c r="F35" s="21"/>
      <c r="G35" s="21"/>
      <c r="H35" s="21"/>
      <c r="I35" s="22"/>
      <c r="J35" s="2"/>
      <c r="K35" s="2"/>
      <c r="L35" s="2"/>
      <c r="M35" s="2"/>
      <c r="N35" s="2"/>
      <c r="O35" s="2"/>
      <c r="P35" s="2"/>
      <c r="Q35" s="2"/>
      <c r="R35" s="2"/>
    </row>
    <row r="36" spans="1:86" s="54" customFormat="1" x14ac:dyDescent="0.25">
      <c r="A36" s="1"/>
      <c r="B36" s="1" t="s">
        <v>16</v>
      </c>
      <c r="C36" s="12">
        <f t="shared" ref="C36:H36" si="24">C34-C25-C28</f>
        <v>118788</v>
      </c>
      <c r="D36" s="12">
        <f t="shared" si="24"/>
        <v>122194</v>
      </c>
      <c r="E36" s="12">
        <f t="shared" si="24"/>
        <v>128813</v>
      </c>
      <c r="F36" s="12">
        <f t="shared" si="24"/>
        <v>-63928</v>
      </c>
      <c r="G36" s="12">
        <f t="shared" si="24"/>
        <v>352590</v>
      </c>
      <c r="H36" s="12">
        <f t="shared" si="24"/>
        <v>281807</v>
      </c>
      <c r="I36" s="81">
        <f>I34-I25-I28</f>
        <v>-263719.39459360007</v>
      </c>
      <c r="J36" s="23">
        <f t="shared" ref="J36:R36" si="25">J34-J25-J28</f>
        <v>-303400.99999999988</v>
      </c>
      <c r="K36" s="23">
        <f>K34-K25-K28</f>
        <v>-63180</v>
      </c>
      <c r="L36" s="23">
        <f>L34-L25-L28</f>
        <v>19245.600000000093</v>
      </c>
      <c r="M36" s="23">
        <f t="shared" si="25"/>
        <v>115263.64800000019</v>
      </c>
      <c r="N36" s="23">
        <f t="shared" si="25"/>
        <v>226521.41184000031</v>
      </c>
      <c r="O36" s="23">
        <f t="shared" si="25"/>
        <v>354842.73054720054</v>
      </c>
      <c r="P36" s="23">
        <f t="shared" si="25"/>
        <v>502245.72321177676</v>
      </c>
      <c r="Q36" s="23">
        <f t="shared" si="25"/>
        <v>670962.2012271831</v>
      </c>
      <c r="R36" s="23">
        <f t="shared" si="25"/>
        <v>863458.94309649908</v>
      </c>
    </row>
    <row r="37" spans="1:86" s="54" customFormat="1" x14ac:dyDescent="0.25">
      <c r="A37" s="1"/>
      <c r="B37" s="1"/>
      <c r="C37" s="21"/>
      <c r="D37" s="21"/>
      <c r="E37" s="21"/>
      <c r="F37" s="21"/>
      <c r="G37" s="21"/>
      <c r="H37" s="21"/>
      <c r="I37" s="22"/>
      <c r="J37" s="2"/>
      <c r="K37" s="2"/>
      <c r="L37" s="2"/>
      <c r="M37" s="2"/>
      <c r="N37" s="2"/>
      <c r="O37" s="2"/>
      <c r="P37" s="2"/>
      <c r="Q37" s="2"/>
      <c r="R37" s="2"/>
    </row>
    <row r="38" spans="1:86" s="54" customFormat="1" x14ac:dyDescent="0.25">
      <c r="A38" s="1"/>
      <c r="B38" s="1" t="s">
        <v>17</v>
      </c>
      <c r="C38" s="12">
        <f t="shared" ref="C38:R38" si="26">C34</f>
        <v>115556</v>
      </c>
      <c r="D38" s="12">
        <f t="shared" si="26"/>
        <v>136763</v>
      </c>
      <c r="E38" s="12">
        <f t="shared" si="26"/>
        <v>148668</v>
      </c>
      <c r="F38" s="12">
        <f t="shared" si="26"/>
        <v>39479</v>
      </c>
      <c r="G38" s="12">
        <f t="shared" si="26"/>
        <v>402119</v>
      </c>
      <c r="H38" s="12">
        <f t="shared" si="26"/>
        <v>414294</v>
      </c>
      <c r="I38" s="81">
        <f>I34</f>
        <v>93347.483966399916</v>
      </c>
      <c r="J38" s="23">
        <f t="shared" si="26"/>
        <v>-45290.999999999884</v>
      </c>
      <c r="K38" s="23">
        <f t="shared" si="26"/>
        <v>152820</v>
      </c>
      <c r="L38" s="23">
        <f t="shared" si="26"/>
        <v>252525.60000000009</v>
      </c>
      <c r="M38" s="23">
        <f t="shared" si="26"/>
        <v>367206.04800000018</v>
      </c>
      <c r="N38" s="23">
        <f t="shared" si="26"/>
        <v>498619.20384000032</v>
      </c>
      <c r="O38" s="23">
        <f t="shared" si="26"/>
        <v>648708.34590720059</v>
      </c>
      <c r="P38" s="23">
        <f t="shared" si="26"/>
        <v>819620.58780057682</v>
      </c>
      <c r="Q38" s="23">
        <f t="shared" si="26"/>
        <v>1013727.0549830873</v>
      </c>
      <c r="R38" s="23">
        <f t="shared" si="26"/>
        <v>1233644.9851528755</v>
      </c>
    </row>
    <row r="39" spans="1:86" s="54" customFormat="1" x14ac:dyDescent="0.25">
      <c r="A39" s="1"/>
      <c r="B39" s="67" t="s">
        <v>18</v>
      </c>
      <c r="C39" s="68">
        <f t="shared" ref="C39:R39" si="27">C38/C11</f>
        <v>0.11887914769465642</v>
      </c>
      <c r="D39" s="68">
        <f t="shared" si="27"/>
        <v>0.11802183994739358</v>
      </c>
      <c r="E39" s="68">
        <f t="shared" si="27"/>
        <v>0.10911444877636338</v>
      </c>
      <c r="F39" s="68">
        <f t="shared" si="27"/>
        <v>1.6587320294226517E-2</v>
      </c>
      <c r="G39" s="68">
        <f t="shared" si="27"/>
        <v>0.12946977212014202</v>
      </c>
      <c r="H39" s="68">
        <f t="shared" si="27"/>
        <v>0.12491467206333202</v>
      </c>
      <c r="I39" s="84">
        <f>I38/I11</f>
        <v>1.8299999999999983E-2</v>
      </c>
      <c r="J39" s="85">
        <f t="shared" si="27"/>
        <v>-9.2999999999999767E-3</v>
      </c>
      <c r="K39" s="85">
        <f t="shared" si="27"/>
        <v>2.8299999999999999E-2</v>
      </c>
      <c r="L39" s="85">
        <f t="shared" si="27"/>
        <v>4.3300000000000019E-2</v>
      </c>
      <c r="M39" s="85">
        <f t="shared" si="27"/>
        <v>5.8300000000000032E-2</v>
      </c>
      <c r="N39" s="85">
        <f t="shared" si="27"/>
        <v>7.3300000000000046E-2</v>
      </c>
      <c r="O39" s="85">
        <f t="shared" si="27"/>
        <v>8.8300000000000059E-2</v>
      </c>
      <c r="P39" s="85">
        <f t="shared" si="27"/>
        <v>0.10330000000000009</v>
      </c>
      <c r="Q39" s="85">
        <f t="shared" si="27"/>
        <v>0.1183000000000001</v>
      </c>
      <c r="R39" s="85">
        <f t="shared" si="27"/>
        <v>0.13330000000000009</v>
      </c>
    </row>
    <row r="40" spans="1:86" s="54" customFormat="1" x14ac:dyDescent="0.25">
      <c r="A40" s="1"/>
      <c r="B40" s="14"/>
      <c r="C40" s="1"/>
      <c r="D40" s="1"/>
      <c r="E40" s="1"/>
      <c r="F40" s="2"/>
      <c r="G40" s="1"/>
      <c r="H40" s="1"/>
      <c r="I40" s="22"/>
      <c r="J40" s="2"/>
      <c r="K40" s="2"/>
      <c r="L40" s="2"/>
      <c r="M40" s="2"/>
      <c r="N40" s="2"/>
      <c r="O40" s="2"/>
      <c r="P40" s="2"/>
      <c r="Q40" s="2"/>
      <c r="R40" s="2"/>
    </row>
    <row r="41" spans="1:86" s="54" customFormat="1" x14ac:dyDescent="0.25">
      <c r="A41" s="1"/>
      <c r="B41" s="1" t="s">
        <v>19</v>
      </c>
      <c r="C41" s="12">
        <v>23514</v>
      </c>
      <c r="D41" s="12">
        <v>34192</v>
      </c>
      <c r="E41" s="12">
        <v>21296</v>
      </c>
      <c r="F41" s="23">
        <v>3101</v>
      </c>
      <c r="G41" s="12">
        <v>55038</v>
      </c>
      <c r="H41" s="12">
        <v>47048</v>
      </c>
      <c r="I41" s="80">
        <f>I38*I42</f>
        <v>18482.801825347186</v>
      </c>
      <c r="J41" s="28">
        <f t="shared" ref="J41:R41" si="28">J38*J42</f>
        <v>-8967.6179999999767</v>
      </c>
      <c r="K41" s="28">
        <f t="shared" si="28"/>
        <v>30258.36</v>
      </c>
      <c r="L41" s="28">
        <f t="shared" si="28"/>
        <v>50000.068800000023</v>
      </c>
      <c r="M41" s="28">
        <f t="shared" si="28"/>
        <v>72706.797504000046</v>
      </c>
      <c r="N41" s="28">
        <f t="shared" si="28"/>
        <v>98726.602360320074</v>
      </c>
      <c r="O41" s="28">
        <f t="shared" si="28"/>
        <v>128444.25248962572</v>
      </c>
      <c r="P41" s="28">
        <f t="shared" si="28"/>
        <v>162284.87638451421</v>
      </c>
      <c r="Q41" s="28">
        <f t="shared" si="28"/>
        <v>200717.95688665131</v>
      </c>
      <c r="R41" s="28">
        <f t="shared" si="28"/>
        <v>244261.70706026937</v>
      </c>
    </row>
    <row r="42" spans="1:86" s="54" customFormat="1" x14ac:dyDescent="0.25">
      <c r="A42" s="1"/>
      <c r="B42" s="67" t="s">
        <v>20</v>
      </c>
      <c r="C42" s="69">
        <f t="shared" ref="C42:H42" si="29">C41/C38</f>
        <v>0.20348575582401607</v>
      </c>
      <c r="D42" s="69">
        <f t="shared" si="29"/>
        <v>0.2500091398989493</v>
      </c>
      <c r="E42" s="69">
        <f t="shared" si="29"/>
        <v>0.14324535205962277</v>
      </c>
      <c r="F42" s="69">
        <f t="shared" si="29"/>
        <v>7.8548088857367207E-2</v>
      </c>
      <c r="G42" s="69">
        <f t="shared" si="29"/>
        <v>0.13686993153767915</v>
      </c>
      <c r="H42" s="69">
        <f t="shared" si="29"/>
        <v>0.11356186669370061</v>
      </c>
      <c r="I42" s="86">
        <v>0.19800000000000001</v>
      </c>
      <c r="J42" s="87">
        <v>0.19800000000000001</v>
      </c>
      <c r="K42" s="87">
        <v>0.19800000000000001</v>
      </c>
      <c r="L42" s="87">
        <f>K42</f>
        <v>0.19800000000000001</v>
      </c>
      <c r="M42" s="87">
        <f t="shared" ref="M42:R42" si="30">L42</f>
        <v>0.19800000000000001</v>
      </c>
      <c r="N42" s="87">
        <f t="shared" si="30"/>
        <v>0.19800000000000001</v>
      </c>
      <c r="O42" s="87">
        <f t="shared" si="30"/>
        <v>0.19800000000000001</v>
      </c>
      <c r="P42" s="87">
        <f t="shared" si="30"/>
        <v>0.19800000000000001</v>
      </c>
      <c r="Q42" s="87">
        <f t="shared" si="30"/>
        <v>0.19800000000000001</v>
      </c>
      <c r="R42" s="87">
        <f t="shared" si="30"/>
        <v>0.19800000000000001</v>
      </c>
    </row>
    <row r="43" spans="1:86" s="54" customFormat="1" x14ac:dyDescent="0.25">
      <c r="A43" s="1"/>
      <c r="B43" s="1"/>
      <c r="C43" s="1"/>
      <c r="D43" s="1"/>
      <c r="E43" s="1"/>
      <c r="F43" s="1"/>
      <c r="G43" s="1"/>
      <c r="H43" s="1"/>
      <c r="I43" s="22"/>
      <c r="J43" s="2"/>
      <c r="K43" s="2"/>
      <c r="L43" s="2"/>
      <c r="M43" s="2"/>
      <c r="N43" s="2"/>
      <c r="O43" s="2"/>
      <c r="P43" s="2"/>
      <c r="Q43" s="2"/>
      <c r="R43" s="2"/>
    </row>
    <row r="44" spans="1:86" s="54" customFormat="1" x14ac:dyDescent="0.25">
      <c r="A44" s="1"/>
      <c r="B44" s="10" t="s">
        <v>21</v>
      </c>
      <c r="C44" s="10">
        <v>2017</v>
      </c>
      <c r="D44" s="10">
        <v>2018</v>
      </c>
      <c r="E44" s="10">
        <v>2019</v>
      </c>
      <c r="F44" s="11">
        <v>2020</v>
      </c>
      <c r="G44" s="10">
        <v>2021</v>
      </c>
      <c r="H44" s="10">
        <v>2022</v>
      </c>
      <c r="I44" s="82">
        <v>2023</v>
      </c>
      <c r="J44" s="83">
        <v>2024</v>
      </c>
      <c r="K44" s="83">
        <v>2025</v>
      </c>
      <c r="L44" s="83">
        <v>2026</v>
      </c>
      <c r="M44" s="83">
        <v>2027</v>
      </c>
      <c r="N44" s="83">
        <v>2028</v>
      </c>
      <c r="O44" s="83">
        <v>2029</v>
      </c>
      <c r="P44" s="83">
        <v>2030</v>
      </c>
      <c r="Q44" s="83">
        <v>2031</v>
      </c>
      <c r="R44" s="83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s="54" customFormat="1" x14ac:dyDescent="0.25">
      <c r="A45" s="1"/>
      <c r="B45" s="1" t="s">
        <v>22</v>
      </c>
      <c r="C45" s="12">
        <f>50894+12743</f>
        <v>63637</v>
      </c>
      <c r="D45" s="12">
        <f>66202+14568</f>
        <v>80770</v>
      </c>
      <c r="E45" s="12">
        <f>75745+16620</f>
        <v>92365</v>
      </c>
      <c r="F45" s="23">
        <f>156690+64192</f>
        <v>220882</v>
      </c>
      <c r="G45" s="12">
        <f>187803+82266</f>
        <v>270069</v>
      </c>
      <c r="H45" s="12">
        <f>207132+79647</f>
        <v>286779</v>
      </c>
      <c r="I45" s="22">
        <f>I46*I11</f>
        <v>606300</v>
      </c>
      <c r="J45" s="2">
        <f t="shared" ref="J45:K45" si="31">J46*J11</f>
        <v>520430</v>
      </c>
      <c r="K45" s="2">
        <f t="shared" si="31"/>
        <v>471900</v>
      </c>
      <c r="L45" s="28">
        <f t="shared" ref="L45:R45" si="32">L46*L11</f>
        <v>466560</v>
      </c>
      <c r="M45" s="28">
        <f t="shared" si="32"/>
        <v>488138.4</v>
      </c>
      <c r="N45" s="28">
        <f t="shared" si="32"/>
        <v>510183.36000000004</v>
      </c>
      <c r="O45" s="28">
        <f t="shared" si="32"/>
        <v>532631.42784000002</v>
      </c>
      <c r="P45" s="28">
        <f t="shared" si="32"/>
        <v>555406.01303040003</v>
      </c>
      <c r="Q45" s="28">
        <f t="shared" si="32"/>
        <v>578415.69071308814</v>
      </c>
      <c r="R45" s="28">
        <f t="shared" si="32"/>
        <v>601552.31834161165</v>
      </c>
    </row>
    <row r="46" spans="1:86" s="54" customFormat="1" x14ac:dyDescent="0.25">
      <c r="A46" s="1"/>
      <c r="B46" s="70" t="s">
        <v>18</v>
      </c>
      <c r="C46" s="71">
        <f t="shared" ref="C46:H46" si="33">C45/C11</f>
        <v>6.5467066373402077E-2</v>
      </c>
      <c r="D46" s="71">
        <f t="shared" si="33"/>
        <v>6.9701776156935569E-2</v>
      </c>
      <c r="E46" s="71">
        <f t="shared" si="33"/>
        <v>6.7791024707595474E-2</v>
      </c>
      <c r="F46" s="71">
        <f t="shared" si="33"/>
        <v>9.2804794478820174E-2</v>
      </c>
      <c r="G46" s="71">
        <f t="shared" si="33"/>
        <v>8.6953792003647265E-2</v>
      </c>
      <c r="H46" s="71">
        <f t="shared" si="33"/>
        <v>8.646735105903125E-2</v>
      </c>
      <c r="I46" s="84">
        <v>0.11886008629856268</v>
      </c>
      <c r="J46" s="85">
        <v>0.10686447638603697</v>
      </c>
      <c r="K46" s="85">
        <v>8.7388888888888891E-2</v>
      </c>
      <c r="L46" s="85">
        <v>0.08</v>
      </c>
      <c r="M46" s="85">
        <f>L46-0.25%</f>
        <v>7.7499999999999999E-2</v>
      </c>
      <c r="N46" s="85">
        <f t="shared" ref="N46:R46" si="34">M46-0.25%</f>
        <v>7.4999999999999997E-2</v>
      </c>
      <c r="O46" s="85">
        <f t="shared" si="34"/>
        <v>7.2499999999999995E-2</v>
      </c>
      <c r="P46" s="85">
        <f t="shared" si="34"/>
        <v>6.9999999999999993E-2</v>
      </c>
      <c r="Q46" s="85">
        <f t="shared" si="34"/>
        <v>6.7499999999999991E-2</v>
      </c>
      <c r="R46" s="85">
        <f t="shared" si="34"/>
        <v>6.4999999999999988E-2</v>
      </c>
    </row>
    <row r="47" spans="1:86" s="54" customFormat="1" x14ac:dyDescent="0.25">
      <c r="A47" s="1"/>
      <c r="B47" s="1"/>
      <c r="C47" s="1"/>
      <c r="D47" s="1"/>
      <c r="E47" s="1"/>
      <c r="F47" s="2"/>
      <c r="G47" s="1"/>
      <c r="H47" s="1"/>
      <c r="I47" s="22"/>
      <c r="J47" s="2"/>
      <c r="K47" s="2"/>
      <c r="L47" s="2"/>
      <c r="M47" s="2"/>
      <c r="N47" s="2"/>
      <c r="O47" s="2"/>
      <c r="P47" s="2"/>
      <c r="Q47" s="2"/>
      <c r="R47" s="2"/>
    </row>
    <row r="48" spans="1:86" s="54" customFormat="1" x14ac:dyDescent="0.25">
      <c r="A48" s="1"/>
      <c r="B48" s="1" t="s">
        <v>23</v>
      </c>
      <c r="C48" s="12">
        <v>-138517</v>
      </c>
      <c r="D48" s="12">
        <v>-153438</v>
      </c>
      <c r="E48" s="39">
        <v>-137122</v>
      </c>
      <c r="F48" s="23">
        <v>-136877</v>
      </c>
      <c r="G48" s="12">
        <v>-146337</v>
      </c>
      <c r="H48" s="12">
        <v>-314332</v>
      </c>
      <c r="I48" s="22">
        <f>I49*I11</f>
        <v>-475780</v>
      </c>
      <c r="J48" s="2">
        <f t="shared" ref="J48:K48" si="35">J49*J11</f>
        <v>-477139.99999999994</v>
      </c>
      <c r="K48" s="2">
        <f t="shared" si="35"/>
        <v>-482359.99999999994</v>
      </c>
      <c r="L48" s="2">
        <f t="shared" ref="L48:R48" si="36">L49*L11</f>
        <v>-506368.79999999993</v>
      </c>
      <c r="M48" s="2">
        <f t="shared" si="36"/>
        <v>-531131.90399999998</v>
      </c>
      <c r="N48" s="2">
        <f t="shared" si="36"/>
        <v>-556616.34431999992</v>
      </c>
      <c r="O48" s="2">
        <f t="shared" si="36"/>
        <v>-582779.05090559996</v>
      </c>
      <c r="P48" s="2">
        <f t="shared" si="36"/>
        <v>-609565.44594124798</v>
      </c>
      <c r="Q48" s="2">
        <f t="shared" si="36"/>
        <v>-636907.87825680396</v>
      </c>
      <c r="R48" s="2">
        <f t="shared" si="36"/>
        <v>-664723.8808888247</v>
      </c>
    </row>
    <row r="49" spans="1:86" s="54" customFormat="1" x14ac:dyDescent="0.25">
      <c r="A49" s="1"/>
      <c r="B49" s="70" t="s">
        <v>18</v>
      </c>
      <c r="C49" s="71">
        <f t="shared" ref="C49:H49" si="37">C48/C11</f>
        <v>-0.14250045779726475</v>
      </c>
      <c r="D49" s="71">
        <f t="shared" si="37"/>
        <v>-0.13241180054435905</v>
      </c>
      <c r="E49" s="71">
        <f t="shared" si="37"/>
        <v>-0.10064029545774814</v>
      </c>
      <c r="F49" s="71">
        <f t="shared" si="37"/>
        <v>-5.7509628914431545E-2</v>
      </c>
      <c r="G49" s="71">
        <f t="shared" si="37"/>
        <v>-4.7115948370371016E-2</v>
      </c>
      <c r="H49" s="71">
        <f t="shared" si="37"/>
        <v>-9.4774915154482761E-2</v>
      </c>
      <c r="I49" s="84">
        <v>-9.3272722842042147E-2</v>
      </c>
      <c r="J49" s="85">
        <v>-9.7975359342915805E-2</v>
      </c>
      <c r="K49" s="85">
        <v>-8.932592592592592E-2</v>
      </c>
      <c r="L49" s="85">
        <f>K49+0.25%</f>
        <v>-8.6825925925925918E-2</v>
      </c>
      <c r="M49" s="85">
        <f t="shared" ref="M49:R49" si="38">L49+0.25%</f>
        <v>-8.4325925925925915E-2</v>
      </c>
      <c r="N49" s="85">
        <f t="shared" si="38"/>
        <v>-8.1825925925925913E-2</v>
      </c>
      <c r="O49" s="85">
        <f t="shared" si="38"/>
        <v>-7.9325925925925911E-2</v>
      </c>
      <c r="P49" s="85">
        <f t="shared" si="38"/>
        <v>-7.6825925925925909E-2</v>
      </c>
      <c r="Q49" s="85">
        <f t="shared" si="38"/>
        <v>-7.4325925925925906E-2</v>
      </c>
      <c r="R49" s="85">
        <f t="shared" si="38"/>
        <v>-7.1825925925925904E-2</v>
      </c>
    </row>
    <row r="50" spans="1:86" s="54" customFormat="1" x14ac:dyDescent="0.25">
      <c r="A50" s="1"/>
      <c r="B50" s="1"/>
      <c r="C50" s="1"/>
      <c r="D50" s="1"/>
      <c r="E50" s="1"/>
      <c r="F50" s="2"/>
      <c r="G50" s="1"/>
      <c r="H50" s="1"/>
      <c r="I50" s="22"/>
      <c r="J50" s="2"/>
      <c r="K50" s="2"/>
      <c r="L50" s="2"/>
      <c r="M50" s="2"/>
      <c r="N50" s="2"/>
      <c r="O50" s="2"/>
      <c r="P50" s="2"/>
      <c r="Q50" s="2"/>
      <c r="R50" s="2"/>
    </row>
    <row r="51" spans="1:86" s="54" customFormat="1" x14ac:dyDescent="0.25">
      <c r="A51" s="1"/>
      <c r="B51" s="1" t="s">
        <v>24</v>
      </c>
      <c r="C51" s="1">
        <v>51780</v>
      </c>
      <c r="D51" s="1">
        <v>33430</v>
      </c>
      <c r="E51" s="1">
        <v>61670</v>
      </c>
      <c r="F51" s="2">
        <v>356790</v>
      </c>
      <c r="G51" s="1">
        <v>76410</v>
      </c>
      <c r="H51" s="1">
        <f>(95.88*1000000)/1000</f>
        <v>95880</v>
      </c>
      <c r="I51" s="80">
        <f t="shared" ref="I51:R51" si="39">I52*I11</f>
        <v>459085.98671999999</v>
      </c>
      <c r="J51" s="28">
        <f t="shared" si="39"/>
        <v>131490</v>
      </c>
      <c r="K51" s="28">
        <f t="shared" si="39"/>
        <v>135000</v>
      </c>
      <c r="L51" s="28">
        <f t="shared" si="39"/>
        <v>174960</v>
      </c>
      <c r="M51" s="28">
        <f t="shared" si="39"/>
        <v>188956.79999999999</v>
      </c>
      <c r="N51" s="28">
        <f t="shared" si="39"/>
        <v>204073.34400000001</v>
      </c>
      <c r="O51" s="28">
        <f t="shared" si="39"/>
        <v>220399.21152000004</v>
      </c>
      <c r="P51" s="28">
        <f t="shared" si="39"/>
        <v>238031.14844160003</v>
      </c>
      <c r="Q51" s="28">
        <f t="shared" si="39"/>
        <v>257073.6403169281</v>
      </c>
      <c r="R51" s="28">
        <f t="shared" si="39"/>
        <v>277639.53154228238</v>
      </c>
    </row>
    <row r="52" spans="1:86" s="54" customFormat="1" x14ac:dyDescent="0.25">
      <c r="A52" s="1"/>
      <c r="B52" s="70" t="s">
        <v>18</v>
      </c>
      <c r="C52" s="71">
        <f t="shared" ref="C52:H52" si="40">C51/C11</f>
        <v>5.3269083973392209E-2</v>
      </c>
      <c r="D52" s="71">
        <f t="shared" si="40"/>
        <v>2.8848958486150256E-2</v>
      </c>
      <c r="E52" s="71">
        <f t="shared" si="40"/>
        <v>4.5262518201888299E-2</v>
      </c>
      <c r="F52" s="71">
        <f t="shared" si="40"/>
        <v>0.14990729268160488</v>
      </c>
      <c r="G52" s="71">
        <f t="shared" si="40"/>
        <v>2.4601636052263263E-2</v>
      </c>
      <c r="H52" s="71">
        <f t="shared" si="40"/>
        <v>2.8908984338253209E-2</v>
      </c>
      <c r="I52" s="90">
        <v>0.09</v>
      </c>
      <c r="J52" s="91">
        <v>2.7E-2</v>
      </c>
      <c r="K52" s="91">
        <v>2.5000000000000001E-2</v>
      </c>
      <c r="L52" s="91">
        <v>0.03</v>
      </c>
      <c r="M52" s="91">
        <v>0.03</v>
      </c>
      <c r="N52" s="91">
        <v>0.03</v>
      </c>
      <c r="O52" s="91">
        <v>0.03</v>
      </c>
      <c r="P52" s="91">
        <v>0.03</v>
      </c>
      <c r="Q52" s="91">
        <v>0.03</v>
      </c>
      <c r="R52" s="91">
        <v>0.03</v>
      </c>
    </row>
    <row r="53" spans="1:86" s="54" customFormat="1" x14ac:dyDescent="0.25">
      <c r="A53" s="1"/>
      <c r="B53" s="1"/>
      <c r="C53" s="1"/>
      <c r="D53" s="1"/>
      <c r="E53" s="1"/>
      <c r="F53" s="1"/>
      <c r="G53" s="1"/>
      <c r="H53" s="1"/>
      <c r="I53" s="22"/>
      <c r="J53" s="2"/>
      <c r="K53" s="2"/>
      <c r="L53" s="2"/>
      <c r="M53" s="2"/>
      <c r="N53" s="2"/>
      <c r="O53" s="2"/>
      <c r="P53" s="2"/>
      <c r="Q53" s="2"/>
      <c r="R53" s="2"/>
    </row>
    <row r="54" spans="1:86" s="54" customFormat="1" x14ac:dyDescent="0.25">
      <c r="A54" s="1"/>
      <c r="B54" s="10" t="s">
        <v>25</v>
      </c>
      <c r="C54" s="12">
        <f t="shared" ref="C54:I54" si="41">C38-C41</f>
        <v>92042</v>
      </c>
      <c r="D54" s="12">
        <f t="shared" si="41"/>
        <v>102571</v>
      </c>
      <c r="E54" s="12">
        <f t="shared" si="41"/>
        <v>127372</v>
      </c>
      <c r="F54" s="12">
        <f t="shared" si="41"/>
        <v>36378</v>
      </c>
      <c r="G54" s="12">
        <f t="shared" si="41"/>
        <v>347081</v>
      </c>
      <c r="H54" s="12">
        <f t="shared" si="41"/>
        <v>367246</v>
      </c>
      <c r="I54" s="81">
        <f t="shared" si="41"/>
        <v>74864.682141052734</v>
      </c>
      <c r="J54" s="23">
        <f t="shared" ref="J54:R54" si="42">J38-J41</f>
        <v>-36323.38199999991</v>
      </c>
      <c r="K54" s="23">
        <f t="shared" si="42"/>
        <v>122561.64</v>
      </c>
      <c r="L54" s="23">
        <f t="shared" si="42"/>
        <v>202525.53120000008</v>
      </c>
      <c r="M54" s="23">
        <f t="shared" si="42"/>
        <v>294499.25049600017</v>
      </c>
      <c r="N54" s="23">
        <f t="shared" si="42"/>
        <v>399892.60147968028</v>
      </c>
      <c r="O54" s="23">
        <f t="shared" si="42"/>
        <v>520264.09341757488</v>
      </c>
      <c r="P54" s="23">
        <f t="shared" si="42"/>
        <v>657335.71141606267</v>
      </c>
      <c r="Q54" s="23">
        <f t="shared" si="42"/>
        <v>813009.09809643601</v>
      </c>
      <c r="R54" s="23">
        <f t="shared" si="42"/>
        <v>989383.27809260623</v>
      </c>
    </row>
    <row r="55" spans="1:86" s="54" customFormat="1" x14ac:dyDescent="0.25">
      <c r="A55" s="1"/>
      <c r="B55" s="10" t="s">
        <v>26</v>
      </c>
      <c r="C55" s="12">
        <f t="shared" ref="C55:R55" si="43">C36-C41</f>
        <v>95274</v>
      </c>
      <c r="D55" s="12">
        <f t="shared" si="43"/>
        <v>88002</v>
      </c>
      <c r="E55" s="12">
        <f t="shared" si="43"/>
        <v>107517</v>
      </c>
      <c r="F55" s="12">
        <f t="shared" si="43"/>
        <v>-67029</v>
      </c>
      <c r="G55" s="12">
        <f t="shared" si="43"/>
        <v>297552</v>
      </c>
      <c r="H55" s="12">
        <f t="shared" si="43"/>
        <v>234759</v>
      </c>
      <c r="I55" s="81">
        <f>I36-I41</f>
        <v>-282202.19641894725</v>
      </c>
      <c r="J55" s="23">
        <f>J36-J41</f>
        <v>-294433.38199999993</v>
      </c>
      <c r="K55" s="23">
        <f t="shared" si="43"/>
        <v>-93438.36</v>
      </c>
      <c r="L55" s="23">
        <f t="shared" si="43"/>
        <v>-30754.46879999993</v>
      </c>
      <c r="M55" s="23">
        <f t="shared" si="43"/>
        <v>42556.850496000145</v>
      </c>
      <c r="N55" s="23">
        <f t="shared" si="43"/>
        <v>127794.80947968023</v>
      </c>
      <c r="O55" s="23">
        <f t="shared" si="43"/>
        <v>226398.47805757483</v>
      </c>
      <c r="P55" s="23">
        <f t="shared" si="43"/>
        <v>339960.84682726255</v>
      </c>
      <c r="Q55" s="23">
        <f t="shared" si="43"/>
        <v>470244.24434053176</v>
      </c>
      <c r="R55" s="23">
        <f t="shared" si="43"/>
        <v>619197.23603622965</v>
      </c>
      <c r="S55" s="55">
        <f>R55*(1+$E$6)</f>
        <v>637773.15311731654</v>
      </c>
      <c r="T55" s="55">
        <f t="shared" ref="T55:CE55" si="44">S55*(1+$E$6)</f>
        <v>656906.3477108361</v>
      </c>
      <c r="U55" s="55">
        <f t="shared" si="44"/>
        <v>676613.53814216121</v>
      </c>
      <c r="V55" s="55">
        <f t="shared" si="44"/>
        <v>696911.94428642606</v>
      </c>
      <c r="W55" s="55">
        <f t="shared" si="44"/>
        <v>717819.30261501891</v>
      </c>
      <c r="X55" s="55">
        <f t="shared" si="44"/>
        <v>739353.88169346948</v>
      </c>
      <c r="Y55" s="55">
        <f t="shared" si="44"/>
        <v>761534.49814427353</v>
      </c>
      <c r="Z55" s="55">
        <f t="shared" si="44"/>
        <v>784380.53308860178</v>
      </c>
      <c r="AA55" s="55">
        <f t="shared" si="44"/>
        <v>807911.9490812599</v>
      </c>
      <c r="AB55" s="55">
        <f t="shared" si="44"/>
        <v>832149.30755369773</v>
      </c>
      <c r="AC55" s="55">
        <f t="shared" si="44"/>
        <v>857113.7867803087</v>
      </c>
      <c r="AD55" s="55">
        <f t="shared" si="44"/>
        <v>882827.20038371801</v>
      </c>
      <c r="AE55" s="55">
        <f t="shared" si="44"/>
        <v>909312.01639522961</v>
      </c>
      <c r="AF55" s="55">
        <f t="shared" si="44"/>
        <v>936591.37688708655</v>
      </c>
      <c r="AG55" s="55">
        <f t="shared" si="44"/>
        <v>964689.11819369916</v>
      </c>
      <c r="AH55" s="55">
        <f t="shared" si="44"/>
        <v>993629.79173951014</v>
      </c>
      <c r="AI55" s="55">
        <f t="shared" si="44"/>
        <v>1023438.6854916954</v>
      </c>
      <c r="AJ55" s="55">
        <f t="shared" si="44"/>
        <v>1054141.8460564462</v>
      </c>
      <c r="AK55" s="55">
        <f t="shared" si="44"/>
        <v>1085766.1014381396</v>
      </c>
      <c r="AL55" s="55">
        <f t="shared" si="44"/>
        <v>1118339.0844812838</v>
      </c>
      <c r="AM55" s="55">
        <f t="shared" si="44"/>
        <v>1151889.2570157223</v>
      </c>
      <c r="AN55" s="55">
        <f t="shared" si="44"/>
        <v>1186445.934726194</v>
      </c>
      <c r="AO55" s="55">
        <f t="shared" si="44"/>
        <v>1222039.3127679799</v>
      </c>
      <c r="AP55" s="55">
        <f t="shared" si="44"/>
        <v>1258700.4921510194</v>
      </c>
      <c r="AQ55" s="55">
        <f t="shared" si="44"/>
        <v>1296461.50691555</v>
      </c>
      <c r="AR55" s="55">
        <f t="shared" si="44"/>
        <v>1335355.3521230165</v>
      </c>
      <c r="AS55" s="55">
        <f t="shared" si="44"/>
        <v>1375416.0126867071</v>
      </c>
      <c r="AT55" s="55">
        <f t="shared" si="44"/>
        <v>1416678.4930673083</v>
      </c>
      <c r="AU55" s="55">
        <f t="shared" si="44"/>
        <v>1459178.8478593277</v>
      </c>
      <c r="AV55" s="55">
        <f t="shared" si="44"/>
        <v>1502954.2132951075</v>
      </c>
      <c r="AW55" s="55">
        <f t="shared" si="44"/>
        <v>1548042.8396939607</v>
      </c>
      <c r="AX55" s="55">
        <f t="shared" si="44"/>
        <v>1594484.1248847796</v>
      </c>
      <c r="AY55" s="55">
        <f t="shared" si="44"/>
        <v>1642318.6486313229</v>
      </c>
      <c r="AZ55" s="55">
        <f t="shared" si="44"/>
        <v>1691588.2080902627</v>
      </c>
      <c r="BA55" s="55">
        <f t="shared" si="44"/>
        <v>1742335.8543329707</v>
      </c>
      <c r="BB55" s="55">
        <f t="shared" si="44"/>
        <v>1794605.9299629598</v>
      </c>
      <c r="BC55" s="55">
        <f t="shared" si="44"/>
        <v>1848444.1078618488</v>
      </c>
      <c r="BD55" s="55">
        <f t="shared" si="44"/>
        <v>1903897.4310977042</v>
      </c>
      <c r="BE55" s="55">
        <f t="shared" si="44"/>
        <v>1961014.3540306354</v>
      </c>
      <c r="BF55" s="55">
        <f t="shared" si="44"/>
        <v>2019844.7846515547</v>
      </c>
      <c r="BG55" s="55">
        <f t="shared" si="44"/>
        <v>2080440.1281911014</v>
      </c>
      <c r="BH55" s="55">
        <f t="shared" si="44"/>
        <v>2142853.3320368347</v>
      </c>
      <c r="BI55" s="55">
        <f t="shared" si="44"/>
        <v>2207138.9319979399</v>
      </c>
      <c r="BJ55" s="55">
        <f t="shared" si="44"/>
        <v>2273353.0999578782</v>
      </c>
      <c r="BK55" s="55">
        <f t="shared" si="44"/>
        <v>2341553.6929566148</v>
      </c>
      <c r="BL55" s="55">
        <f t="shared" si="44"/>
        <v>2411800.3037453131</v>
      </c>
      <c r="BM55" s="55">
        <f t="shared" si="44"/>
        <v>2484154.3128576726</v>
      </c>
      <c r="BN55" s="55">
        <f t="shared" si="44"/>
        <v>2558678.9422434028</v>
      </c>
      <c r="BO55" s="55">
        <f t="shared" si="44"/>
        <v>2635439.3105107048</v>
      </c>
      <c r="BP55" s="55">
        <f t="shared" si="44"/>
        <v>2714502.4898260259</v>
      </c>
      <c r="BQ55" s="55">
        <f t="shared" si="44"/>
        <v>2795937.5645208065</v>
      </c>
      <c r="BR55" s="55">
        <f t="shared" si="44"/>
        <v>2879815.6914564306</v>
      </c>
      <c r="BS55" s="55">
        <f t="shared" si="44"/>
        <v>2966210.1622001235</v>
      </c>
      <c r="BT55" s="55">
        <f t="shared" si="44"/>
        <v>3055196.4670661273</v>
      </c>
      <c r="BU55" s="55">
        <f t="shared" si="44"/>
        <v>3146852.3610781115</v>
      </c>
      <c r="BV55" s="55">
        <f t="shared" si="44"/>
        <v>3241257.9319104548</v>
      </c>
      <c r="BW55" s="55">
        <f t="shared" si="44"/>
        <v>3338495.6698677684</v>
      </c>
      <c r="BX55" s="55">
        <f t="shared" si="44"/>
        <v>3438650.5399638014</v>
      </c>
      <c r="BY55" s="55">
        <f t="shared" si="44"/>
        <v>3541810.0561627154</v>
      </c>
      <c r="BZ55" s="55">
        <f t="shared" si="44"/>
        <v>3648064.357847597</v>
      </c>
      <c r="CA55" s="55">
        <f t="shared" si="44"/>
        <v>3757506.2885830249</v>
      </c>
      <c r="CB55" s="55">
        <f t="shared" si="44"/>
        <v>3870231.4772405159</v>
      </c>
      <c r="CC55" s="55">
        <f t="shared" si="44"/>
        <v>3986338.4215577315</v>
      </c>
      <c r="CD55" s="55">
        <f t="shared" si="44"/>
        <v>4105928.5742044635</v>
      </c>
      <c r="CE55" s="55">
        <f t="shared" si="44"/>
        <v>4229106.4314305978</v>
      </c>
      <c r="CF55" s="55">
        <f t="shared" ref="CF55:CH55" si="45">CE55*(1+$E$6)</f>
        <v>4355979.6243735161</v>
      </c>
      <c r="CG55" s="55">
        <f t="shared" si="45"/>
        <v>4486659.0131047219</v>
      </c>
      <c r="CH55" s="55">
        <f t="shared" si="45"/>
        <v>4621258.7834978634</v>
      </c>
    </row>
    <row r="56" spans="1:86" s="54" customFormat="1" x14ac:dyDescent="0.25">
      <c r="A56" s="1"/>
      <c r="B56" s="6"/>
      <c r="C56" s="12"/>
      <c r="D56" s="12"/>
      <c r="E56" s="12"/>
      <c r="F56" s="12"/>
      <c r="G56" s="12"/>
      <c r="H56" s="12"/>
      <c r="I56" s="22"/>
      <c r="J56" s="2"/>
      <c r="K56" s="2"/>
      <c r="L56" s="2"/>
      <c r="M56" s="2"/>
      <c r="N56" s="2"/>
      <c r="O56" s="2"/>
      <c r="P56" s="2"/>
      <c r="Q56" s="2"/>
      <c r="R56" s="2"/>
    </row>
    <row r="57" spans="1:86" s="54" customFormat="1" x14ac:dyDescent="0.25">
      <c r="A57" s="1"/>
      <c r="B57" s="10" t="s">
        <v>27</v>
      </c>
      <c r="C57" s="24">
        <f t="shared" ref="C57:G57" si="46">C54+C45-C48-C51</f>
        <v>242416</v>
      </c>
      <c r="D57" s="24">
        <f t="shared" si="46"/>
        <v>303349</v>
      </c>
      <c r="E57" s="24">
        <f t="shared" si="46"/>
        <v>295189</v>
      </c>
      <c r="F57" s="24">
        <f t="shared" si="46"/>
        <v>37347</v>
      </c>
      <c r="G57" s="24">
        <f t="shared" si="46"/>
        <v>687077</v>
      </c>
      <c r="H57" s="24">
        <f>H54+H45-H48-H51</f>
        <v>872477</v>
      </c>
      <c r="I57" s="81">
        <f>I54+I45+I48-I51</f>
        <v>-253701.30457894719</v>
      </c>
      <c r="J57" s="23">
        <f t="shared" ref="J57:R57" si="47">J54+J45+J48-J51</f>
        <v>-124523.38199999987</v>
      </c>
      <c r="K57" s="23">
        <f t="shared" si="47"/>
        <v>-22898.359999999928</v>
      </c>
      <c r="L57" s="23">
        <f t="shared" si="47"/>
        <v>-12243.268799999845</v>
      </c>
      <c r="M57" s="23">
        <f t="shared" si="47"/>
        <v>62548.946496000222</v>
      </c>
      <c r="N57" s="23">
        <f t="shared" si="47"/>
        <v>149386.27315968045</v>
      </c>
      <c r="O57" s="23">
        <f t="shared" si="47"/>
        <v>249717.2588319749</v>
      </c>
      <c r="P57" s="23">
        <f t="shared" si="47"/>
        <v>365145.13006361469</v>
      </c>
      <c r="Q57" s="23">
        <f t="shared" si="47"/>
        <v>497443.27023579209</v>
      </c>
      <c r="R57" s="23">
        <f t="shared" si="47"/>
        <v>648572.18400311074</v>
      </c>
    </row>
    <row r="58" spans="1:86" s="54" customFormat="1" x14ac:dyDescent="0.25">
      <c r="A58" s="1"/>
      <c r="B58" s="25" t="s">
        <v>28</v>
      </c>
      <c r="C58" s="1"/>
      <c r="D58" s="1"/>
      <c r="E58" s="1"/>
      <c r="F58" s="1"/>
      <c r="G58" s="1"/>
      <c r="H58" s="1"/>
      <c r="I58" s="73">
        <f t="shared" ref="I58:R58" si="48">I57/((1+$E$5)^I9)</f>
        <v>-227428.91472847611</v>
      </c>
      <c r="J58" s="19">
        <f t="shared" si="48"/>
        <v>-100068.37892479678</v>
      </c>
      <c r="K58" s="19">
        <f t="shared" si="48"/>
        <v>-16495.797415326837</v>
      </c>
      <c r="L58" s="72">
        <f t="shared" si="48"/>
        <v>-7906.5914501898833</v>
      </c>
      <c r="M58" s="19">
        <f t="shared" si="48"/>
        <v>36210.530862410968</v>
      </c>
      <c r="N58" s="19">
        <f t="shared" si="48"/>
        <v>77526.211870880201</v>
      </c>
      <c r="O58" s="19">
        <f t="shared" si="48"/>
        <v>116174.12455509159</v>
      </c>
      <c r="P58" s="19">
        <f t="shared" si="48"/>
        <v>152282.26958078091</v>
      </c>
      <c r="Q58" s="19">
        <f t="shared" si="48"/>
        <v>185973.2009993032</v>
      </c>
      <c r="R58" s="19">
        <f t="shared" si="48"/>
        <v>217364.24332526023</v>
      </c>
    </row>
    <row r="59" spans="1:86" x14ac:dyDescent="0.25">
      <c r="A59" s="1"/>
      <c r="B59" s="26"/>
      <c r="C59" s="26"/>
      <c r="D59" s="26"/>
      <c r="E59" s="26"/>
      <c r="F59" s="26"/>
      <c r="G59" s="26"/>
      <c r="H59" s="26"/>
      <c r="I59" s="27"/>
      <c r="J59" s="26"/>
      <c r="K59" s="26"/>
      <c r="L59" s="1"/>
      <c r="M59" s="26"/>
      <c r="N59" s="26"/>
      <c r="O59" s="26"/>
      <c r="P59" s="26"/>
      <c r="Q59" s="26"/>
      <c r="R59" s="26"/>
    </row>
    <row r="60" spans="1:86" x14ac:dyDescent="0.25">
      <c r="A60" s="1"/>
      <c r="B60" s="1" t="s">
        <v>29</v>
      </c>
      <c r="C60" s="28">
        <f>(R57*(1+$E$6))/($E$5-$E$6)</f>
        <v>7811461.2162158899</v>
      </c>
      <c r="D60" s="1"/>
      <c r="E60" s="1" t="s">
        <v>30</v>
      </c>
      <c r="F60" s="19">
        <f>NPV($E$5,I55:CH55)</f>
        <v>2632984.3262589937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29">
        <f>C60/((1+$E$5)^$R$9)</f>
        <v>2617954.3286106149</v>
      </c>
      <c r="D61" s="17"/>
      <c r="E61" s="3"/>
      <c r="F61" s="3"/>
      <c r="G61" s="3"/>
      <c r="H61" s="17"/>
      <c r="I61" s="13"/>
      <c r="L61" s="56" t="s">
        <v>54</v>
      </c>
      <c r="M61" s="57"/>
      <c r="N61" s="57"/>
      <c r="O61" s="57"/>
      <c r="P61" s="57"/>
      <c r="Q61" s="56"/>
    </row>
    <row r="62" spans="1:86" x14ac:dyDescent="0.25">
      <c r="A62" s="1"/>
      <c r="B62" s="6" t="s">
        <v>32</v>
      </c>
      <c r="C62" s="6"/>
      <c r="D62" s="1"/>
      <c r="E62" s="6"/>
      <c r="F62" s="6"/>
      <c r="G62" s="30" t="s">
        <v>33</v>
      </c>
      <c r="H62" s="30" t="s">
        <v>30</v>
      </c>
      <c r="I62" s="16"/>
      <c r="K62" s="56"/>
      <c r="L62" s="58">
        <f>E68</f>
        <v>36.135201647961196</v>
      </c>
      <c r="M62" s="59">
        <v>-0.03</v>
      </c>
      <c r="N62" s="59">
        <v>-0.02</v>
      </c>
      <c r="O62" s="59">
        <v>-0.01</v>
      </c>
      <c r="P62" s="59">
        <v>0.01</v>
      </c>
      <c r="Q62" s="59">
        <v>0.03</v>
      </c>
    </row>
    <row r="63" spans="1:86" x14ac:dyDescent="0.25">
      <c r="A63" s="1"/>
      <c r="B63" s="31" t="s">
        <v>34</v>
      </c>
      <c r="C63" s="1"/>
      <c r="D63" s="23">
        <v>2582371</v>
      </c>
      <c r="E63" s="1"/>
      <c r="F63" s="1"/>
      <c r="G63" s="28">
        <f>C61+SUM(I58:R58)</f>
        <v>3051585.2272855523</v>
      </c>
      <c r="H63" s="19">
        <f>F60</f>
        <v>2632984.3262589937</v>
      </c>
      <c r="I63" s="16"/>
      <c r="K63" s="56"/>
      <c r="L63" s="60">
        <f>L64-2%</f>
        <v>7.0875653511905154E-2</v>
      </c>
      <c r="M63" s="61">
        <f t="dataTable" ref="M63:Q67" dt2D="1" dtr="1" r1="E6" r2="E5"/>
        <v>41.848581546479707</v>
      </c>
      <c r="N63" s="61">
        <v>44.519128085724034</v>
      </c>
      <c r="O63" s="61">
        <v>47.833466598552747</v>
      </c>
      <c r="P63" s="61">
        <v>57.556379218842842</v>
      </c>
      <c r="Q63" s="61">
        <v>75.693877017102125</v>
      </c>
    </row>
    <row r="64" spans="1:86" x14ac:dyDescent="0.25">
      <c r="A64" s="1"/>
      <c r="B64" s="32" t="s">
        <v>35</v>
      </c>
      <c r="C64" s="3"/>
      <c r="D64" s="40">
        <v>403212</v>
      </c>
      <c r="E64" s="3"/>
      <c r="F64" s="3"/>
      <c r="G64" s="3"/>
      <c r="H64" s="3"/>
      <c r="I64" s="16"/>
      <c r="K64" s="57"/>
      <c r="L64" s="60">
        <f>L65-2%</f>
        <v>9.0875653511905158E-2</v>
      </c>
      <c r="M64" s="61">
        <v>34.088475127404692</v>
      </c>
      <c r="N64" s="62">
        <v>35.64120697867525</v>
      </c>
      <c r="O64" s="62">
        <v>37.498643663960898</v>
      </c>
      <c r="P64" s="62">
        <v>42.560862857711292</v>
      </c>
      <c r="Q64" s="61">
        <v>50.774926851861238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3">
        <f>G63+D63-D64</f>
        <v>5230744.2272855528</v>
      </c>
      <c r="H65" s="34">
        <f>H63+D63-D64</f>
        <v>4812143.3262589937</v>
      </c>
      <c r="I65" s="16"/>
      <c r="K65" s="56" t="s">
        <v>1</v>
      </c>
      <c r="L65" s="63">
        <v>0.11087565351190516</v>
      </c>
      <c r="M65" s="61">
        <v>28.905735157344211</v>
      </c>
      <c r="N65" s="62">
        <v>29.865454523987147</v>
      </c>
      <c r="O65" s="64">
        <v>30.983331951963294</v>
      </c>
      <c r="P65" s="62">
        <v>33.878034292994954</v>
      </c>
      <c r="Q65" s="61">
        <v>38.1725901025181</v>
      </c>
    </row>
    <row r="66" spans="1:17" x14ac:dyDescent="0.25">
      <c r="A66" s="1"/>
      <c r="B66" s="3" t="s">
        <v>37</v>
      </c>
      <c r="C66" s="3"/>
      <c r="D66" s="66">
        <f>138962661/1000</f>
        <v>138962.66099999999</v>
      </c>
      <c r="E66" s="3"/>
      <c r="F66" s="3"/>
      <c r="G66" s="3"/>
      <c r="H66" s="35"/>
      <c r="I66" s="16"/>
      <c r="K66" s="56"/>
      <c r="L66" s="65">
        <f>L65+2%</f>
        <v>0.13087565351190517</v>
      </c>
      <c r="M66" s="61">
        <v>25.291829377761083</v>
      </c>
      <c r="N66" s="62">
        <v>25.912948727985757</v>
      </c>
      <c r="O66" s="62">
        <v>26.622112110838135</v>
      </c>
      <c r="P66" s="62">
        <v>28.391215939983674</v>
      </c>
      <c r="Q66" s="61">
        <v>30.855474450366554</v>
      </c>
    </row>
    <row r="67" spans="1:17" x14ac:dyDescent="0.25">
      <c r="A67" s="1"/>
      <c r="B67" s="18" t="s">
        <v>38</v>
      </c>
      <c r="C67" s="18"/>
      <c r="D67" s="18">
        <f>D66*$J$5</f>
        <v>5430660.7918799995</v>
      </c>
      <c r="E67" s="18"/>
      <c r="F67" s="18"/>
      <c r="G67" s="18"/>
      <c r="H67" s="36"/>
      <c r="I67" s="1"/>
      <c r="K67" s="56"/>
      <c r="L67" s="65">
        <f>L66+2%</f>
        <v>0.15087565351190516</v>
      </c>
      <c r="M67" s="61">
        <v>22.689619815251596</v>
      </c>
      <c r="N67" s="61">
        <v>23.106263620287184</v>
      </c>
      <c r="O67" s="61">
        <v>23.574674135514332</v>
      </c>
      <c r="P67" s="61">
        <v>24.710724550114112</v>
      </c>
      <c r="Q67" s="61">
        <v>26.221366306404676</v>
      </c>
    </row>
    <row r="68" spans="1:17" x14ac:dyDescent="0.25">
      <c r="A68" s="1"/>
      <c r="B68" s="6" t="s">
        <v>39</v>
      </c>
      <c r="D68" s="6" t="s">
        <v>40</v>
      </c>
      <c r="E68" s="37">
        <f>(G68+H68)/2</f>
        <v>36.135201647961196</v>
      </c>
      <c r="F68" s="6"/>
      <c r="G68" s="37">
        <f>G65/D66</f>
        <v>37.641364879199841</v>
      </c>
      <c r="H68" s="38">
        <f>H65/D66</f>
        <v>34.629038416722558</v>
      </c>
      <c r="I68" s="16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B69" s="42"/>
      <c r="C69" s="42"/>
      <c r="D69" s="42"/>
      <c r="E69" s="42"/>
      <c r="F69" s="42"/>
      <c r="G69" s="42"/>
      <c r="H69" s="42"/>
      <c r="I69" s="22"/>
    </row>
  </sheetData>
  <sortState xmlns:xlrd2="http://schemas.microsoft.com/office/spreadsheetml/2017/richdata2" columnSort="1" ref="C10:H58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D7" sqref="D7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44</v>
      </c>
      <c r="C6" s="2"/>
      <c r="D6" s="45">
        <v>0.16600000000000001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45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46</v>
      </c>
      <c r="C8" s="2"/>
      <c r="D8" s="46">
        <v>1.4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47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36</v>
      </c>
      <c r="B12" s="2"/>
      <c r="C12" s="23">
        <f>'COHR DCF'!D66*'COHR DCF'!J5</f>
        <v>5430660.7918799995</v>
      </c>
      <c r="D12" s="2"/>
      <c r="E12" s="2" t="s">
        <v>35</v>
      </c>
      <c r="F12" s="2"/>
      <c r="G12" s="23">
        <f>'COHR DCF'!D64</f>
        <v>403212</v>
      </c>
      <c r="H12" s="2"/>
      <c r="I12" s="2" t="s">
        <v>48</v>
      </c>
      <c r="J12" s="2"/>
      <c r="K12" s="23">
        <f>G12+C12</f>
        <v>5833872.7918799995</v>
      </c>
      <c r="L12" s="2"/>
    </row>
    <row r="13" spans="1:12" x14ac:dyDescent="0.25">
      <c r="A13" s="2" t="s">
        <v>49</v>
      </c>
      <c r="B13" s="2"/>
      <c r="C13" s="47">
        <f>C12/K12</f>
        <v>0.93088433457767206</v>
      </c>
      <c r="D13" s="2"/>
      <c r="E13" s="2" t="s">
        <v>50</v>
      </c>
      <c r="F13" s="2"/>
      <c r="G13" s="48">
        <f>G12/K12</f>
        <v>6.9115665422327902E-2</v>
      </c>
      <c r="H13" s="2"/>
      <c r="I13" s="2"/>
      <c r="J13" s="2"/>
      <c r="K13" s="2"/>
      <c r="L13" s="2"/>
    </row>
    <row r="14" spans="1:12" x14ac:dyDescent="0.25">
      <c r="A14" s="2" t="s">
        <v>51</v>
      </c>
      <c r="B14" s="2"/>
      <c r="C14" s="49">
        <f>D7+D8*(D9)</f>
        <v>0.121</v>
      </c>
      <c r="D14" s="2"/>
      <c r="E14" s="2" t="s">
        <v>52</v>
      </c>
      <c r="F14" s="2"/>
      <c r="G14" s="50">
        <v>0.05</v>
      </c>
      <c r="H14" s="2"/>
      <c r="I14" s="51" t="s">
        <v>1</v>
      </c>
      <c r="J14" s="52"/>
      <c r="K14" s="53">
        <f>C13*C14+G14*G13*(1-D6)</f>
        <v>0.11551912773200938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COHR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2023-06-12T20:56:11Z</dcterms:modified>
</cp:coreProperties>
</file>