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797122BB-1425-4F53-9064-27ABBA66A34A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MED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D60" i="1"/>
  <c r="G12" i="2" s="1"/>
  <c r="D62" i="1"/>
  <c r="L20" i="1"/>
  <c r="M20" i="1"/>
  <c r="N20" i="1" s="1"/>
  <c r="O20" i="1" s="1"/>
  <c r="P20" i="1" s="1"/>
  <c r="Q20" i="1" s="1"/>
  <c r="R20" i="1" s="1"/>
  <c r="K20" i="1"/>
  <c r="L17" i="1"/>
  <c r="M17" i="1"/>
  <c r="N17" i="1" s="1"/>
  <c r="O17" i="1" s="1"/>
  <c r="P17" i="1" s="1"/>
  <c r="Q17" i="1" s="1"/>
  <c r="R17" i="1" s="1"/>
  <c r="K17" i="1"/>
  <c r="K43" i="1"/>
  <c r="J11" i="1"/>
  <c r="K11" i="1"/>
  <c r="L11" i="1" s="1"/>
  <c r="M11" i="1" s="1"/>
  <c r="N11" i="1" s="1"/>
  <c r="O11" i="1" s="1"/>
  <c r="P11" i="1" s="1"/>
  <c r="Q11" i="1" s="1"/>
  <c r="R11" i="1" s="1"/>
  <c r="I11" i="1"/>
  <c r="G46" i="1"/>
  <c r="H46" i="1"/>
  <c r="F46" i="1"/>
  <c r="D46" i="1"/>
  <c r="E46" i="1"/>
  <c r="C46" i="1"/>
  <c r="G43" i="1"/>
  <c r="H43" i="1"/>
  <c r="F43" i="1"/>
  <c r="D43" i="1"/>
  <c r="E43" i="1"/>
  <c r="C43" i="1"/>
  <c r="G40" i="1"/>
  <c r="H40" i="1"/>
  <c r="F40" i="1"/>
  <c r="D40" i="1"/>
  <c r="E40" i="1"/>
  <c r="C40" i="1"/>
  <c r="D51" i="1"/>
  <c r="E51" i="1"/>
  <c r="F51" i="1"/>
  <c r="G51" i="1"/>
  <c r="H51" i="1"/>
  <c r="C51" i="1"/>
  <c r="G36" i="1"/>
  <c r="H36" i="1"/>
  <c r="F36" i="1"/>
  <c r="D36" i="1"/>
  <c r="E36" i="1"/>
  <c r="C36" i="1"/>
  <c r="G28" i="1"/>
  <c r="H28" i="1"/>
  <c r="F28" i="1"/>
  <c r="D28" i="1"/>
  <c r="E28" i="1"/>
  <c r="C28" i="1"/>
  <c r="C27" i="1"/>
  <c r="C25" i="1"/>
  <c r="C31" i="1"/>
  <c r="G19" i="1"/>
  <c r="H19" i="1"/>
  <c r="F19" i="1"/>
  <c r="D19" i="1"/>
  <c r="E19" i="1"/>
  <c r="C19" i="1"/>
  <c r="C16" i="1"/>
  <c r="G14" i="1"/>
  <c r="H14" i="1"/>
  <c r="F14" i="1"/>
  <c r="D14" i="1"/>
  <c r="E14" i="1"/>
  <c r="C14" i="1"/>
  <c r="G11" i="1"/>
  <c r="H11" i="1"/>
  <c r="F11" i="1"/>
  <c r="D11" i="1"/>
  <c r="E11" i="1"/>
  <c r="C11" i="1"/>
  <c r="L59" i="1"/>
  <c r="L62" i="1"/>
  <c r="L63" i="1" s="1"/>
  <c r="I44" i="1"/>
  <c r="J44" i="1"/>
  <c r="I41" i="1"/>
  <c r="J22" i="1"/>
  <c r="I22" i="1"/>
  <c r="D16" i="1"/>
  <c r="D25" i="1"/>
  <c r="E25" i="1"/>
  <c r="L60" i="1"/>
  <c r="D63" i="1"/>
  <c r="C12" i="2" s="1"/>
  <c r="C14" i="2"/>
  <c r="J9" i="1"/>
  <c r="K9" i="1" s="1"/>
  <c r="L9" i="1" s="1"/>
  <c r="M9" i="1" s="1"/>
  <c r="N9" i="1" s="1"/>
  <c r="O9" i="1" s="1"/>
  <c r="P9" i="1" s="1"/>
  <c r="Q9" i="1" s="1"/>
  <c r="R9" i="1" s="1"/>
  <c r="K22" i="1" l="1"/>
  <c r="G25" i="1"/>
  <c r="C33" i="1"/>
  <c r="D27" i="1"/>
  <c r="D31" i="1" s="1"/>
  <c r="E23" i="1"/>
  <c r="E20" i="1"/>
  <c r="F16" i="1"/>
  <c r="F17" i="1" s="1"/>
  <c r="G16" i="1"/>
  <c r="G27" i="1" s="1"/>
  <c r="C23" i="1"/>
  <c r="D23" i="1"/>
  <c r="H25" i="1"/>
  <c r="F25" i="1"/>
  <c r="G23" i="1"/>
  <c r="H23" i="1"/>
  <c r="F23" i="1"/>
  <c r="C41" i="1"/>
  <c r="E16" i="1"/>
  <c r="E27" i="1" s="1"/>
  <c r="E31" i="1" s="1"/>
  <c r="H16" i="1"/>
  <c r="E41" i="1"/>
  <c r="D47" i="1"/>
  <c r="F12" i="1"/>
  <c r="F20" i="1"/>
  <c r="C29" i="1"/>
  <c r="D29" i="1"/>
  <c r="H29" i="1"/>
  <c r="E29" i="1"/>
  <c r="F29" i="1"/>
  <c r="G29" i="1"/>
  <c r="I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I14" i="1" s="1"/>
  <c r="D17" i="1"/>
  <c r="C17" i="1"/>
  <c r="H20" i="1"/>
  <c r="H41" i="1"/>
  <c r="C44" i="1"/>
  <c r="H44" i="1"/>
  <c r="H47" i="1"/>
  <c r="E12" i="1"/>
  <c r="E44" i="1"/>
  <c r="K12" i="2"/>
  <c r="G13" i="2" s="1"/>
  <c r="C49" i="1" l="1"/>
  <c r="C53" i="1" s="1"/>
  <c r="F27" i="1"/>
  <c r="F31" i="1" s="1"/>
  <c r="H27" i="1"/>
  <c r="H33" i="1" s="1"/>
  <c r="H49" i="1" s="1"/>
  <c r="G17" i="1"/>
  <c r="G31" i="1"/>
  <c r="G33" i="1"/>
  <c r="H31" i="1"/>
  <c r="E17" i="1"/>
  <c r="E33" i="1"/>
  <c r="E49" i="1" s="1"/>
  <c r="H17" i="1"/>
  <c r="C13" i="2"/>
  <c r="K14" i="2" s="1"/>
  <c r="E5" i="1" s="1"/>
  <c r="F33" i="1"/>
  <c r="F49" i="1" s="1"/>
  <c r="D33" i="1"/>
  <c r="D49" i="1" s="1"/>
  <c r="G49" i="1" l="1"/>
  <c r="G53" i="1" s="1"/>
  <c r="G34" i="1"/>
  <c r="G37" i="1"/>
  <c r="H53" i="1"/>
  <c r="E53" i="1"/>
  <c r="E34" i="1"/>
  <c r="E37" i="1"/>
  <c r="H34" i="1"/>
  <c r="F37" i="1"/>
  <c r="F53" i="1"/>
  <c r="D53" i="1"/>
  <c r="D34" i="1"/>
  <c r="D37" i="1"/>
  <c r="F34" i="1"/>
  <c r="H37" i="1"/>
  <c r="C37" i="1" l="1"/>
  <c r="C34" i="1"/>
  <c r="I46" i="1"/>
  <c r="I19" i="1" l="1"/>
  <c r="I25" i="1" l="1"/>
  <c r="I27" i="1" s="1"/>
  <c r="I31" i="1" s="1"/>
  <c r="I33" i="1" l="1"/>
  <c r="I34" i="1" l="1"/>
  <c r="I36" i="1"/>
  <c r="I51" i="1" s="1"/>
  <c r="I49" i="1" l="1"/>
  <c r="I53" i="1" s="1"/>
  <c r="I54" i="1" s="1"/>
  <c r="J19" i="1" l="1"/>
  <c r="J25" i="1" s="1"/>
  <c r="J28" i="1"/>
  <c r="J46" i="1"/>
  <c r="J16" i="1"/>
  <c r="J14" i="1" s="1"/>
  <c r="J27" i="1" l="1"/>
  <c r="J33" i="1" s="1"/>
  <c r="J36" i="1" s="1"/>
  <c r="J34" i="1"/>
  <c r="J31" i="1" l="1"/>
  <c r="J51" i="1" s="1"/>
  <c r="J49" i="1"/>
  <c r="K19" i="1"/>
  <c r="K25" i="1" s="1"/>
  <c r="K46" i="1"/>
  <c r="K28" i="1"/>
  <c r="K16" i="1"/>
  <c r="K14" i="1" s="1"/>
  <c r="K27" i="1" l="1"/>
  <c r="K33" i="1" s="1"/>
  <c r="K36" i="1" l="1"/>
  <c r="K49" i="1" s="1"/>
  <c r="K34" i="1"/>
  <c r="K31" i="1"/>
  <c r="K51" i="1" l="1"/>
  <c r="J41" i="1"/>
  <c r="J53" i="1"/>
  <c r="J54" i="1" s="1"/>
  <c r="K53" i="1"/>
  <c r="K54" i="1" s="1"/>
  <c r="M19" i="1" l="1"/>
  <c r="P19" i="1"/>
  <c r="Q19" i="1"/>
  <c r="N19" i="1"/>
  <c r="L22" i="1"/>
  <c r="L28" i="1"/>
  <c r="L46" i="1"/>
  <c r="L43" i="1"/>
  <c r="Q22" i="1"/>
  <c r="Q46" i="1"/>
  <c r="Q28" i="1"/>
  <c r="Q43" i="1"/>
  <c r="N28" i="1"/>
  <c r="N22" i="1"/>
  <c r="N43" i="1"/>
  <c r="N46" i="1"/>
  <c r="P22" i="1"/>
  <c r="P46" i="1"/>
  <c r="P28" i="1"/>
  <c r="P43" i="1"/>
  <c r="L16" i="1"/>
  <c r="L14" i="1" s="1"/>
  <c r="R19" i="1"/>
  <c r="R43" i="1"/>
  <c r="R22" i="1"/>
  <c r="R46" i="1"/>
  <c r="R28" i="1"/>
  <c r="M46" i="1"/>
  <c r="M43" i="1"/>
  <c r="M22" i="1"/>
  <c r="M28" i="1"/>
  <c r="O43" i="1"/>
  <c r="O46" i="1"/>
  <c r="O28" i="1"/>
  <c r="O22" i="1"/>
  <c r="Q16" i="1"/>
  <c r="Q14" i="1" s="1"/>
  <c r="O19" i="1"/>
  <c r="O25" i="1" s="1"/>
  <c r="M16" i="1"/>
  <c r="M14" i="1" s="1"/>
  <c r="P16" i="1"/>
  <c r="P14" i="1" s="1"/>
  <c r="O16" i="1"/>
  <c r="O14" i="1" s="1"/>
  <c r="L19" i="1"/>
  <c r="N16" i="1"/>
  <c r="N14" i="1" s="1"/>
  <c r="R16" i="1"/>
  <c r="R25" i="1" l="1"/>
  <c r="L25" i="1"/>
  <c r="L27" i="1" s="1"/>
  <c r="N25" i="1"/>
  <c r="N27" i="1" s="1"/>
  <c r="P25" i="1"/>
  <c r="O27" i="1"/>
  <c r="O31" i="1" s="1"/>
  <c r="P27" i="1"/>
  <c r="P33" i="1" s="1"/>
  <c r="Q25" i="1"/>
  <c r="Q27" i="1" s="1"/>
  <c r="Q31" i="1" s="1"/>
  <c r="M25" i="1"/>
  <c r="M27" i="1" s="1"/>
  <c r="R27" i="1"/>
  <c r="R14" i="1"/>
  <c r="O33" i="1"/>
  <c r="Q33" i="1"/>
  <c r="N33" i="1" l="1"/>
  <c r="N34" i="1" s="1"/>
  <c r="N31" i="1"/>
  <c r="P31" i="1"/>
  <c r="M31" i="1"/>
  <c r="M33" i="1"/>
  <c r="M36" i="1" s="1"/>
  <c r="P36" i="1"/>
  <c r="P49" i="1" s="1"/>
  <c r="P34" i="1"/>
  <c r="L31" i="1"/>
  <c r="L33" i="1"/>
  <c r="Q34" i="1"/>
  <c r="Q36" i="1"/>
  <c r="Q51" i="1" s="1"/>
  <c r="O34" i="1"/>
  <c r="O36" i="1"/>
  <c r="O51" i="1" s="1"/>
  <c r="R31" i="1"/>
  <c r="R33" i="1"/>
  <c r="Q49" i="1" l="1"/>
  <c r="M51" i="1"/>
  <c r="P51" i="1"/>
  <c r="N36" i="1"/>
  <c r="N49" i="1" s="1"/>
  <c r="M34" i="1"/>
  <c r="O49" i="1"/>
  <c r="R34" i="1"/>
  <c r="R36" i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M49" i="1"/>
  <c r="L34" i="1"/>
  <c r="L36" i="1"/>
  <c r="L49" i="1" s="1"/>
  <c r="N51" i="1" l="1"/>
  <c r="R49" i="1"/>
  <c r="L51" i="1"/>
  <c r="F56" i="1" s="1"/>
  <c r="H59" i="1" s="1"/>
  <c r="H61" i="1" s="1"/>
  <c r="H64" i="1" s="1"/>
  <c r="M40" i="1"/>
  <c r="M53" i="1"/>
  <c r="M54" i="1" s="1"/>
  <c r="O40" i="1"/>
  <c r="O53" i="1" s="1"/>
  <c r="O54" i="1" s="1"/>
  <c r="Q40" i="1"/>
  <c r="Q53" i="1"/>
  <c r="Q54" i="1" s="1"/>
  <c r="L40" i="1"/>
  <c r="L53" i="1" s="1"/>
  <c r="L54" i="1" s="1"/>
  <c r="N40" i="1"/>
  <c r="N53" i="1"/>
  <c r="N54" i="1" s="1"/>
  <c r="P40" i="1"/>
  <c r="P53" i="1" s="1"/>
  <c r="P54" i="1" s="1"/>
  <c r="R40" i="1"/>
  <c r="R53" i="1"/>
  <c r="R54" i="1" s="1"/>
  <c r="C56" i="1" l="1"/>
  <c r="C57" i="1" s="1"/>
  <c r="G59" i="1" s="1"/>
  <c r="G61" i="1" s="1"/>
  <c r="G64" i="1" s="1"/>
  <c r="E64" i="1" s="1"/>
  <c r="J6" i="1" l="1"/>
  <c r="N5" i="1" s="1"/>
  <c r="L58" i="1"/>
</calcChain>
</file>

<file path=xl/sharedStrings.xml><?xml version="1.0" encoding="utf-8"?>
<sst xmlns="http://schemas.openxmlformats.org/spreadsheetml/2006/main" count="705" uniqueCount="126">
  <si>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</si>
  <si>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</si>
  <si>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</si>
  <si>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</si>
  <si>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</si>
  <si>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</si>
  <si>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</si>
  <si>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</si>
  <si>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</si>
  <si>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</si>
  <si>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</si>
  <si>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</si>
  <si>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</si>
  <si>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</si>
  <si>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</si>
  <si>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</si>
  <si>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</si>
  <si>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</si>
  <si>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</si>
  <si>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</si>
  <si>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</si>
  <si>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</si>
  <si>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</si>
  <si>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</si>
  <si>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</si>
  <si>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</si>
  <si>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</si>
  <si>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</si>
  <si>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</si>
  <si>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</si>
  <si>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</si>
  <si>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</si>
  <si>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</si>
  <si>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</si>
  <si>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</si>
  <si>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</si>
  <si>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</si>
  <si>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</si>
  <si>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</si>
  <si>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</si>
  <si>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</si>
  <si>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</si>
  <si>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</si>
  <si>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</si>
  <si>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</si>
  <si>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</si>
  <si>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</si>
  <si>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</si>
  <si>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</si>
  <si>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</si>
  <si>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</si>
  <si>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</si>
  <si>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CONSOLIDATED STATEMENTS OF CASH FLOWS</t>
  </si>
  <si>
    <t>Deferred income taxes</t>
  </si>
  <si>
    <t>Other income</t>
  </si>
  <si>
    <t>Terminal Growth Rate</t>
  </si>
  <si>
    <t>2022</t>
  </si>
  <si>
    <t>2021</t>
  </si>
  <si>
    <t>2020</t>
  </si>
  <si>
    <t>—</t>
  </si>
  <si>
    <t xml:space="preserve">Other </t>
  </si>
  <si>
    <t>Basic</t>
  </si>
  <si>
    <t>Diluted</t>
  </si>
  <si>
    <t>Income taxes</t>
  </si>
  <si>
    <t>CONSOLIDATED STATEMENTS OF INCOME</t>
  </si>
  <si>
    <t>Cost of sales</t>
  </si>
  <si>
    <t>Gross profit</t>
  </si>
  <si>
    <t>Selling, general, and administrative</t>
  </si>
  <si>
    <t>Income from operations</t>
  </si>
  <si>
    <t>Other (expense) income</t>
  </si>
  <si>
    <t>Interest (expense) income</t>
  </si>
  <si>
    <t>Income before provision for income taxes</t>
  </si>
  <si>
    <t>Provision for income taxes</t>
  </si>
  <si>
    <t>Earnings per share - basic</t>
  </si>
  <si>
    <t>Earnings per share - diluted</t>
  </si>
  <si>
    <t>Weighted average shares outstanding</t>
  </si>
  <si>
    <t>Cash dividends declared per share</t>
  </si>
  <si>
    <t>Operating Activities</t>
  </si>
  <si>
    <t>Adjustments to reconcile net income to cash provided by operating activities</t>
  </si>
  <si>
    <t>Non-cash lease expense</t>
  </si>
  <si>
    <t>Share-based compensation</t>
  </si>
  <si>
    <t>Loss on sale or disposal of property, plant and equipment</t>
  </si>
  <si>
    <t>Amortization of premium on investment securities</t>
  </si>
  <si>
    <t>Change in operating assets and liabilities:</t>
  </si>
  <si>
    <t>Inventories</t>
  </si>
  <si>
    <t>Prepaid expenses and other current assets</t>
  </si>
  <si>
    <t>Other assets</t>
  </si>
  <si>
    <t>Accounts payable and accrued expenses</t>
  </si>
  <si>
    <t>Net cash flow provided by operating activities</t>
  </si>
  <si>
    <t>Investing Activities</t>
  </si>
  <si>
    <t>Sale and maturities of investment securities</t>
  </si>
  <si>
    <t>Purchase of property and equipment</t>
  </si>
  <si>
    <t>Net cash flow used in investing activities</t>
  </si>
  <si>
    <t>Financing Activities</t>
  </si>
  <si>
    <t>Options exercised by executives and directors</t>
  </si>
  <si>
    <t>Net shares repurchased for taxes</t>
  </si>
  <si>
    <t>Cash dividends paid to stockholders</t>
  </si>
  <si>
    <t>Stock repurchases</t>
  </si>
  <si>
    <t>Net cash flow used in financing activities</t>
  </si>
  <si>
    <t>Foreign currency impact</t>
  </si>
  <si>
    <t>(Decrease) Increase in cash and cash equivalents</t>
  </si>
  <si>
    <t>Cash and cash equivalents - beginning of the period</t>
  </si>
  <si>
    <t>Cash and cash equivalents - end of period</t>
  </si>
  <si>
    <t>Supplemental disclosure of cash flow information</t>
  </si>
  <si>
    <t>Income taxes paid</t>
  </si>
  <si>
    <t>Dividends declared included in accounts payable</t>
  </si>
  <si>
    <t>​</t>
  </si>
  <si>
    <t>2019</t>
  </si>
  <si>
    <t>2018</t>
  </si>
  <si>
    <t>2017</t>
  </si>
  <si>
    <t>Interest income, net</t>
  </si>
  <si>
    <t>Income from operations before income taxes</t>
  </si>
  <si>
    <t>Weighted average shares outstanding -</t>
  </si>
  <si>
    <t>Loss on sale of disposal of property, plant and equipment</t>
  </si>
  <si>
    <t>Bad debt expense</t>
  </si>
  <si>
    <t>Accounts receivable</t>
  </si>
  <si>
    <t>Inventory</t>
  </si>
  <si>
    <t>Income taxes, prepaid</t>
  </si>
  <si>
    <t>Purchase of investment securities</t>
  </si>
  <si>
    <t>-</t>
  </si>
  <si>
    <t>Sale of property and equipment</t>
  </si>
  <si>
    <t>Net shares repurchased for employee taxes</t>
  </si>
  <si>
    <t>Increase (Decrease) in cash and cash equivalents</t>
  </si>
  <si>
    <t>Supplemental disclosure of cash flow information:</t>
  </si>
  <si>
    <t>Update: 25/07/2023</t>
  </si>
  <si>
    <t>Medifast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</si>
</sst>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6" formatCode="\(#,##0_);[Red]\(#,##0\)"/>
    <numFmt numFmtId="167" formatCode="_(\$* #,##0.00_);_(\$* \(#,##0.00\);_(\$* \-??_);_(@_)"/>
    <numFmt numFmtId="168" formatCode="&quot;($&quot;#,##0.00_);[Red]&quot;($&quot;#,##0.00\)"/>
    <numFmt numFmtId="169" formatCode="\(#,##0.00_);[Red]\(#,##0.00\)"/>
    <numFmt numFmtId="170" formatCode="_(\$* #,##0_);_(\$* \(#,##0\);_(\$* &quot;-&quot;_);_(@_)"/>
    <numFmt numFmtId="171" formatCode="_(\$* #,##0.00_);_(\$* \(#,##0.00\);_(\$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3" fontId="3" fillId="2" borderId="0" xfId="1" applyNumberFormat="1" applyFont="1" applyFill="1"/>
    <xf numFmtId="3" fontId="0" fillId="0" borderId="1" xfId="0" applyNumberFormat="1" applyBorder="1"/>
    <xf numFmtId="164" fontId="3" fillId="2" borderId="3" xfId="0" applyNumberFormat="1" applyFont="1" applyFill="1" applyBorder="1"/>
    <xf numFmtId="4" fontId="10" fillId="0" borderId="0" xfId="0" applyNumberFormat="1" applyFont="1"/>
    <xf numFmtId="168" fontId="10" fillId="0" borderId="0" xfId="0" applyNumberFormat="1" applyFont="1"/>
    <xf numFmtId="167" fontId="10" fillId="0" borderId="0" xfId="0" applyNumberFormat="1" applyFont="1"/>
    <xf numFmtId="169" fontId="10" fillId="0" borderId="0" xfId="0" applyNumberFormat="1" applyFont="1"/>
    <xf numFmtId="0" fontId="3" fillId="9" borderId="0" xfId="0" applyFont="1" applyFill="1" applyAlignment="1">
      <alignment horizontal="center"/>
    </xf>
    <xf numFmtId="0" fontId="2" fillId="0" borderId="0" xfId="0" applyFont="1"/>
    <xf numFmtId="170" fontId="2" fillId="0" borderId="0" xfId="0" applyNumberFormat="1" applyFont="1"/>
    <xf numFmtId="3" fontId="2" fillId="0" borderId="0" xfId="0" applyNumberFormat="1" applyFont="1"/>
    <xf numFmtId="166" fontId="2" fillId="0" borderId="0" xfId="0" applyNumberFormat="1" applyFont="1"/>
    <xf numFmtId="171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171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2" fillId="0" borderId="0" xfId="0" applyNumberFormat="1" applyFont="1" applyAlignment="1">
      <alignment horizontal="right"/>
    </xf>
    <xf numFmtId="170" fontId="0" fillId="0" borderId="0" xfId="0" applyNumberFormat="1" applyAlignment="1"/>
    <xf numFmtId="0" fontId="2" fillId="0" borderId="0" xfId="0" applyFont="1" applyAlignment="1"/>
    <xf numFmtId="0" fontId="6" fillId="4" borderId="0" xfId="0" applyFont="1" applyFill="1" applyBorder="1"/>
    <xf numFmtId="1" fontId="3" fillId="2" borderId="0" xfId="0" applyNumberFormat="1" applyFont="1" applyFill="1" applyBorder="1"/>
    <xf numFmtId="10" fontId="3" fillId="2" borderId="0" xfId="0" applyNumberFormat="1" applyFont="1" applyFill="1" applyBorder="1"/>
    <xf numFmtId="0" fontId="3" fillId="2" borderId="0" xfId="0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zoomScaleNormal="100" workbookViewId="0">
      <selection activeCell="C57" sqref="C57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1" customFormat="1" ht="23.25" x14ac:dyDescent="0.35">
      <c r="A2" s="3"/>
      <c r="B2" s="4" t="s">
        <v>125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18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1" customFormat="1" x14ac:dyDescent="0.25">
      <c r="A5" s="1"/>
      <c r="B5" s="1"/>
      <c r="C5" s="7" t="s">
        <v>1</v>
      </c>
      <c r="D5" s="1"/>
      <c r="E5" s="8">
        <f>WACC!K14</f>
        <v>0.1043378601947666</v>
      </c>
      <c r="F5" s="2"/>
      <c r="G5" s="1"/>
      <c r="H5" s="1" t="s">
        <v>2</v>
      </c>
      <c r="I5" s="1"/>
      <c r="J5" s="7">
        <v>97.89</v>
      </c>
      <c r="K5" s="1"/>
      <c r="L5" s="1" t="s">
        <v>3</v>
      </c>
      <c r="M5" s="1"/>
      <c r="N5" s="7">
        <f>(J6/J5)-1</f>
        <v>0.44252581553061621</v>
      </c>
      <c r="O5" s="1"/>
      <c r="P5" s="1" t="s">
        <v>124</v>
      </c>
      <c r="Q5" s="1"/>
      <c r="R5" s="2"/>
    </row>
    <row r="6" spans="1:18" s="51" customFormat="1" x14ac:dyDescent="0.25">
      <c r="A6" s="1"/>
      <c r="B6" s="1"/>
      <c r="C6" s="7" t="s">
        <v>4</v>
      </c>
      <c r="D6" s="1"/>
      <c r="E6" s="8">
        <v>0.01</v>
      </c>
      <c r="F6" s="2"/>
      <c r="G6" s="1"/>
      <c r="H6" s="1" t="s">
        <v>5</v>
      </c>
      <c r="I6" s="1"/>
      <c r="J6" s="57">
        <f>E64</f>
        <v>141.20885208229203</v>
      </c>
      <c r="K6" s="1"/>
      <c r="L6" s="1"/>
      <c r="M6" s="1"/>
      <c r="N6" s="1"/>
      <c r="O6" s="1"/>
      <c r="P6" s="1"/>
      <c r="Q6" s="1"/>
      <c r="R6" s="2"/>
    </row>
    <row r="7" spans="1:18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8"/>
      <c r="M7" s="1"/>
      <c r="N7" s="1"/>
      <c r="O7" s="1"/>
      <c r="P7" s="1"/>
      <c r="Q7" s="1"/>
      <c r="R7" s="2"/>
    </row>
    <row r="8" spans="1:18" s="51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3">
        <v>2023</v>
      </c>
      <c r="J10" s="103">
        <v>2024</v>
      </c>
      <c r="K10" s="103">
        <v>2025</v>
      </c>
      <c r="L10" s="103">
        <v>2026</v>
      </c>
      <c r="M10" s="103">
        <v>2027</v>
      </c>
      <c r="N10" s="103">
        <v>2028</v>
      </c>
      <c r="O10" s="103">
        <v>2029</v>
      </c>
      <c r="P10" s="103">
        <v>2030</v>
      </c>
      <c r="Q10" s="103">
        <v>2031</v>
      </c>
      <c r="R10" s="103">
        <v>2032</v>
      </c>
    </row>
    <row r="11" spans="1:18" s="51" customFormat="1" x14ac:dyDescent="0.25">
      <c r="A11" s="1"/>
      <c r="B11" s="1" t="s">
        <v>7</v>
      </c>
      <c r="C11" s="11">
        <f>'Raw IS'!L6</f>
        <v>301563</v>
      </c>
      <c r="D11" s="11">
        <f>'Raw IS'!M6</f>
        <v>501003</v>
      </c>
      <c r="E11" s="11">
        <f>'Raw IS'!N6</f>
        <v>713672</v>
      </c>
      <c r="F11" s="11">
        <f>'Raw IS'!D6</f>
        <v>934842</v>
      </c>
      <c r="G11" s="11">
        <f>'Raw IS'!E6</f>
        <v>1526087</v>
      </c>
      <c r="H11" s="11">
        <f>'Raw IS'!F6</f>
        <v>1598577</v>
      </c>
      <c r="I11" s="20">
        <f>H11*(1+I12)</f>
        <v>1160000</v>
      </c>
      <c r="J11" s="104">
        <f t="shared" ref="J11:R11" si="1">I11*(1+J12)</f>
        <v>1210000</v>
      </c>
      <c r="K11" s="104">
        <f t="shared" si="1"/>
        <v>1262030</v>
      </c>
      <c r="L11" s="104">
        <f t="shared" si="1"/>
        <v>1316297.2899999998</v>
      </c>
      <c r="M11" s="104">
        <f t="shared" si="1"/>
        <v>1372898.0734699997</v>
      </c>
      <c r="N11" s="104">
        <f t="shared" si="1"/>
        <v>1431932.6906292096</v>
      </c>
      <c r="O11" s="104">
        <f t="shared" si="1"/>
        <v>1493505.7963262654</v>
      </c>
      <c r="P11" s="104">
        <f t="shared" si="1"/>
        <v>1557726.5455682948</v>
      </c>
      <c r="Q11" s="104">
        <f t="shared" si="1"/>
        <v>1624708.7870277313</v>
      </c>
      <c r="R11" s="104">
        <f t="shared" si="1"/>
        <v>1694571.2648699237</v>
      </c>
    </row>
    <row r="12" spans="1:18" s="51" customFormat="1" x14ac:dyDescent="0.25">
      <c r="A12" s="1"/>
      <c r="B12" s="71" t="s">
        <v>8</v>
      </c>
      <c r="C12" s="72"/>
      <c r="D12" s="72">
        <f>(D11/C11)-1</f>
        <v>0.66135434386844549</v>
      </c>
      <c r="E12" s="72">
        <f>(E11/D11)-1</f>
        <v>0.42448648012087742</v>
      </c>
      <c r="F12" s="72">
        <f>(F11/E11)-1</f>
        <v>0.30990426974856788</v>
      </c>
      <c r="G12" s="72">
        <f>(G11/F11)-1</f>
        <v>0.63245446824169216</v>
      </c>
      <c r="H12" s="72">
        <f>(H11/G11)-1</f>
        <v>4.7500568447277347E-2</v>
      </c>
      <c r="I12" s="73">
        <v>-0.27435462914829878</v>
      </c>
      <c r="J12" s="74">
        <v>4.31034482758621E-2</v>
      </c>
      <c r="K12" s="74">
        <v>4.2999999999999997E-2</v>
      </c>
      <c r="L12" s="74">
        <v>4.2999999999999997E-2</v>
      </c>
      <c r="M12" s="74">
        <v>4.2999999999999997E-2</v>
      </c>
      <c r="N12" s="74">
        <v>4.2999999999999997E-2</v>
      </c>
      <c r="O12" s="74">
        <v>4.2999999999999997E-2</v>
      </c>
      <c r="P12" s="74">
        <v>4.2999999999999997E-2</v>
      </c>
      <c r="Q12" s="74">
        <v>4.2999999999999997E-2</v>
      </c>
      <c r="R12" s="74">
        <v>4.2999999999999997E-2</v>
      </c>
    </row>
    <row r="13" spans="1:18" s="51" customFormat="1" x14ac:dyDescent="0.25">
      <c r="A13" s="1"/>
      <c r="B13" s="6"/>
      <c r="C13" s="1"/>
      <c r="D13" s="1"/>
      <c r="E13" s="1"/>
      <c r="F13" s="1"/>
      <c r="G13" s="1"/>
      <c r="H13" s="1"/>
      <c r="I13" s="80"/>
      <c r="J13" s="105"/>
      <c r="K13" s="105"/>
      <c r="L13" s="105"/>
      <c r="M13" s="105"/>
      <c r="N13" s="105"/>
      <c r="O13" s="105"/>
      <c r="P13" s="105"/>
      <c r="Q13" s="105"/>
      <c r="R13" s="105"/>
    </row>
    <row r="14" spans="1:18" s="51" customFormat="1" x14ac:dyDescent="0.25">
      <c r="A14" s="1"/>
      <c r="B14" s="1" t="s">
        <v>9</v>
      </c>
      <c r="C14" s="11">
        <f>'Raw IS'!L7</f>
        <v>73751</v>
      </c>
      <c r="D14" s="11">
        <f>'Raw IS'!M7</f>
        <v>121104</v>
      </c>
      <c r="E14" s="11">
        <f>'Raw IS'!N7</f>
        <v>176814</v>
      </c>
      <c r="F14" s="11">
        <f>'Raw IS'!D7</f>
        <v>237027</v>
      </c>
      <c r="G14" s="11">
        <f>'Raw IS'!E7</f>
        <v>398490</v>
      </c>
      <c r="H14" s="11">
        <f>'Raw IS'!F7</f>
        <v>458163</v>
      </c>
      <c r="I14" s="68">
        <f>I11-I16</f>
        <v>353800</v>
      </c>
      <c r="J14" s="69">
        <f t="shared" ref="J14:R14" si="2">J11-J16</f>
        <v>363000</v>
      </c>
      <c r="K14" s="69">
        <f t="shared" si="2"/>
        <v>374822.91000000003</v>
      </c>
      <c r="L14" s="69">
        <f t="shared" si="2"/>
        <v>386991.40326000005</v>
      </c>
      <c r="M14" s="69">
        <f t="shared" si="2"/>
        <v>399513.33937976998</v>
      </c>
      <c r="N14" s="69">
        <f t="shared" si="2"/>
        <v>412396.61490121239</v>
      </c>
      <c r="O14" s="69">
        <f t="shared" si="2"/>
        <v>425649.15195298567</v>
      </c>
      <c r="P14" s="69">
        <f t="shared" si="2"/>
        <v>439278.8858502591</v>
      </c>
      <c r="Q14" s="69">
        <f t="shared" si="2"/>
        <v>453293.75158073707</v>
      </c>
      <c r="R14" s="69">
        <f t="shared" si="2"/>
        <v>467701.66910409904</v>
      </c>
    </row>
    <row r="15" spans="1:18" s="51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06"/>
      <c r="K15" s="106"/>
      <c r="L15" s="106"/>
      <c r="M15" s="106"/>
      <c r="N15" s="106"/>
      <c r="O15" s="106"/>
      <c r="P15" s="106"/>
      <c r="Q15" s="106"/>
      <c r="R15" s="106"/>
    </row>
    <row r="16" spans="1:18" s="51" customFormat="1" x14ac:dyDescent="0.25">
      <c r="A16" s="1"/>
      <c r="B16" s="1" t="s">
        <v>10</v>
      </c>
      <c r="C16" s="11">
        <f>C11-C14</f>
        <v>227812</v>
      </c>
      <c r="D16" s="11">
        <f t="shared" ref="D16:H16" si="3">D11-D14</f>
        <v>379899</v>
      </c>
      <c r="E16" s="11">
        <f t="shared" si="3"/>
        <v>536858</v>
      </c>
      <c r="F16" s="11">
        <f t="shared" si="3"/>
        <v>697815</v>
      </c>
      <c r="G16" s="11">
        <f t="shared" si="3"/>
        <v>1127597</v>
      </c>
      <c r="H16" s="11">
        <f t="shared" si="3"/>
        <v>1140414</v>
      </c>
      <c r="I16" s="20">
        <f>I11*I17</f>
        <v>806200</v>
      </c>
      <c r="J16" s="104">
        <f t="shared" ref="J16:R16" si="4">J11*J17</f>
        <v>847000</v>
      </c>
      <c r="K16" s="104">
        <f>K11*K17</f>
        <v>887207.09</v>
      </c>
      <c r="L16" s="104">
        <f t="shared" si="4"/>
        <v>929305.88673999975</v>
      </c>
      <c r="M16" s="104">
        <f t="shared" si="4"/>
        <v>973384.73409022973</v>
      </c>
      <c r="N16" s="104">
        <f t="shared" si="4"/>
        <v>1019536.0757279972</v>
      </c>
      <c r="O16" s="104">
        <f t="shared" si="4"/>
        <v>1067856.6443732798</v>
      </c>
      <c r="P16" s="104">
        <f t="shared" si="4"/>
        <v>1118447.6597180357</v>
      </c>
      <c r="Q16" s="104">
        <f t="shared" si="4"/>
        <v>1171415.0354469942</v>
      </c>
      <c r="R16" s="104">
        <f t="shared" si="4"/>
        <v>1226869.5957658247</v>
      </c>
    </row>
    <row r="17" spans="1:18" s="51" customFormat="1" x14ac:dyDescent="0.25">
      <c r="A17" s="1"/>
      <c r="B17" s="71" t="s">
        <v>11</v>
      </c>
      <c r="C17" s="72">
        <f t="shared" ref="C17:H17" si="5">C16/C11</f>
        <v>0.75543750393781728</v>
      </c>
      <c r="D17" s="72">
        <f t="shared" si="5"/>
        <v>0.75827689654552966</v>
      </c>
      <c r="E17" s="72">
        <f t="shared" si="5"/>
        <v>0.75224753107870279</v>
      </c>
      <c r="F17" s="72">
        <f t="shared" si="5"/>
        <v>0.74645234167912866</v>
      </c>
      <c r="G17" s="72">
        <f t="shared" si="5"/>
        <v>0.73888120402047852</v>
      </c>
      <c r="H17" s="72">
        <f t="shared" si="5"/>
        <v>0.71339322409868278</v>
      </c>
      <c r="I17" s="76">
        <v>0.69499999999999995</v>
      </c>
      <c r="J17" s="107">
        <v>0.7</v>
      </c>
      <c r="K17" s="107">
        <f>J17+0.3%</f>
        <v>0.70299999999999996</v>
      </c>
      <c r="L17" s="107">
        <f t="shared" ref="L17:R17" si="6">K17+0.3%</f>
        <v>0.70599999999999996</v>
      </c>
      <c r="M17" s="107">
        <f t="shared" si="6"/>
        <v>0.70899999999999996</v>
      </c>
      <c r="N17" s="107">
        <f t="shared" si="6"/>
        <v>0.71199999999999997</v>
      </c>
      <c r="O17" s="107">
        <f t="shared" si="6"/>
        <v>0.71499999999999997</v>
      </c>
      <c r="P17" s="107">
        <f t="shared" si="6"/>
        <v>0.71799999999999997</v>
      </c>
      <c r="Q17" s="107">
        <f t="shared" si="6"/>
        <v>0.72099999999999997</v>
      </c>
      <c r="R17" s="107">
        <f t="shared" si="6"/>
        <v>0.72399999999999998</v>
      </c>
    </row>
    <row r="18" spans="1:18" s="51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04"/>
      <c r="K18" s="104"/>
      <c r="L18" s="104"/>
      <c r="M18" s="104"/>
      <c r="N18" s="104"/>
      <c r="O18" s="104"/>
      <c r="P18" s="104"/>
      <c r="Q18" s="104"/>
      <c r="R18" s="104"/>
    </row>
    <row r="19" spans="1:18" s="51" customFormat="1" x14ac:dyDescent="0.25">
      <c r="A19" s="1"/>
      <c r="B19" s="1" t="s">
        <v>39</v>
      </c>
      <c r="C19" s="11">
        <f>'Raw IS'!L10</f>
        <v>188180</v>
      </c>
      <c r="D19" s="11">
        <f>'Raw IS'!M10</f>
        <v>310836</v>
      </c>
      <c r="E19" s="11">
        <f>'Raw IS'!N10</f>
        <v>445819</v>
      </c>
      <c r="F19" s="11">
        <f>'Raw IS'!D10</f>
        <v>563656</v>
      </c>
      <c r="G19" s="11">
        <f>'Raw IS'!E10</f>
        <v>911356</v>
      </c>
      <c r="H19" s="11">
        <f>'Raw IS'!F10</f>
        <v>955608</v>
      </c>
      <c r="I19" s="20">
        <f t="shared" ref="I19:R19" si="7">I20*I11</f>
        <v>737760</v>
      </c>
      <c r="J19" s="104">
        <f t="shared" si="7"/>
        <v>769560</v>
      </c>
      <c r="K19" s="104">
        <f t="shared" si="7"/>
        <v>800127.02</v>
      </c>
      <c r="L19" s="104">
        <f t="shared" si="7"/>
        <v>831899.88727999991</v>
      </c>
      <c r="M19" s="104">
        <f t="shared" si="7"/>
        <v>864925.78628609981</v>
      </c>
      <c r="N19" s="104">
        <f t="shared" si="7"/>
        <v>899253.72971514368</v>
      </c>
      <c r="O19" s="104">
        <f t="shared" si="7"/>
        <v>934934.62850024214</v>
      </c>
      <c r="P19" s="104">
        <f t="shared" si="7"/>
        <v>972021.36443461594</v>
      </c>
      <c r="Q19" s="104">
        <f t="shared" si="7"/>
        <v>1010568.8655312489</v>
      </c>
      <c r="R19" s="104">
        <f t="shared" si="7"/>
        <v>1050634.1842193527</v>
      </c>
    </row>
    <row r="20" spans="1:18" s="51" customFormat="1" x14ac:dyDescent="0.25">
      <c r="A20" s="1"/>
      <c r="B20" s="71" t="s">
        <v>16</v>
      </c>
      <c r="C20" s="72">
        <f t="shared" ref="C20:H20" si="8">C19/C11</f>
        <v>0.62401554567370665</v>
      </c>
      <c r="D20" s="72">
        <f t="shared" si="8"/>
        <v>0.62042742259028394</v>
      </c>
      <c r="E20" s="72">
        <f t="shared" si="8"/>
        <v>0.62468332791534487</v>
      </c>
      <c r="F20" s="72">
        <f t="shared" si="8"/>
        <v>0.60294252932581116</v>
      </c>
      <c r="G20" s="72">
        <f t="shared" si="8"/>
        <v>0.59718482629103053</v>
      </c>
      <c r="H20" s="72">
        <f t="shared" si="8"/>
        <v>0.59778665650763152</v>
      </c>
      <c r="I20" s="73">
        <v>0.63600000000000001</v>
      </c>
      <c r="J20" s="74">
        <v>0.63600000000000001</v>
      </c>
      <c r="K20" s="74">
        <f>J20-0.2%</f>
        <v>0.63400000000000001</v>
      </c>
      <c r="L20" s="74">
        <f t="shared" ref="L20:R20" si="9">K20-0.2%</f>
        <v>0.63200000000000001</v>
      </c>
      <c r="M20" s="74">
        <f t="shared" si="9"/>
        <v>0.63</v>
      </c>
      <c r="N20" s="74">
        <f t="shared" si="9"/>
        <v>0.628</v>
      </c>
      <c r="O20" s="74">
        <f t="shared" si="9"/>
        <v>0.626</v>
      </c>
      <c r="P20" s="74">
        <f t="shared" si="9"/>
        <v>0.624</v>
      </c>
      <c r="Q20" s="74">
        <f t="shared" si="9"/>
        <v>0.622</v>
      </c>
      <c r="R20" s="74">
        <f t="shared" si="9"/>
        <v>0.62</v>
      </c>
    </row>
    <row r="21" spans="1:18" s="51" customFormat="1" x14ac:dyDescent="0.25">
      <c r="A21" s="1"/>
      <c r="B21" s="13"/>
      <c r="C21" s="14"/>
      <c r="D21" s="14"/>
      <c r="E21" s="14"/>
      <c r="F21" s="14"/>
      <c r="G21" s="14"/>
      <c r="H21" s="14"/>
      <c r="I21" s="19"/>
      <c r="J21" s="67"/>
      <c r="K21" s="67"/>
      <c r="L21" s="67"/>
      <c r="M21" s="67"/>
      <c r="N21" s="67"/>
      <c r="O21" s="67"/>
      <c r="P21" s="67"/>
      <c r="Q21" s="67"/>
      <c r="R21" s="67"/>
    </row>
    <row r="22" spans="1:18" s="51" customFormat="1" x14ac:dyDescent="0.25">
      <c r="A22" s="1"/>
      <c r="B22" s="1" t="s">
        <v>60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8">
        <f>I23*I11</f>
        <v>0</v>
      </c>
      <c r="J22" s="108">
        <f t="shared" ref="J22:R22" si="10">J23*J11</f>
        <v>0</v>
      </c>
      <c r="K22" s="108">
        <f t="shared" si="10"/>
        <v>0</v>
      </c>
      <c r="L22" s="108">
        <f t="shared" si="10"/>
        <v>0</v>
      </c>
      <c r="M22" s="108">
        <f t="shared" si="10"/>
        <v>0</v>
      </c>
      <c r="N22" s="108">
        <f t="shared" si="10"/>
        <v>0</v>
      </c>
      <c r="O22" s="108">
        <f t="shared" si="10"/>
        <v>0</v>
      </c>
      <c r="P22" s="108">
        <f t="shared" si="10"/>
        <v>0</v>
      </c>
      <c r="Q22" s="108">
        <f t="shared" si="10"/>
        <v>0</v>
      </c>
      <c r="R22" s="108">
        <f t="shared" si="10"/>
        <v>0</v>
      </c>
    </row>
    <row r="23" spans="1:18" s="51" customFormat="1" x14ac:dyDescent="0.25">
      <c r="A23" s="1"/>
      <c r="B23" s="71" t="s">
        <v>16</v>
      </c>
      <c r="C23" s="72">
        <f>C22/C11</f>
        <v>0</v>
      </c>
      <c r="D23" s="72">
        <f t="shared" ref="D23:H23" si="11">D22/D11</f>
        <v>0</v>
      </c>
      <c r="E23" s="72">
        <f t="shared" si="11"/>
        <v>0</v>
      </c>
      <c r="F23" s="72">
        <f t="shared" si="11"/>
        <v>0</v>
      </c>
      <c r="G23" s="72">
        <f t="shared" si="11"/>
        <v>0</v>
      </c>
      <c r="H23" s="72">
        <f t="shared" si="11"/>
        <v>0</v>
      </c>
      <c r="I23" s="73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</row>
    <row r="24" spans="1:18" s="51" customFormat="1" x14ac:dyDescent="0.25">
      <c r="A24" s="1"/>
      <c r="B24" s="1"/>
      <c r="C24" s="11"/>
      <c r="D24" s="11"/>
      <c r="E24" s="11"/>
      <c r="F24" s="11"/>
      <c r="G24" s="11"/>
      <c r="H24" s="11"/>
      <c r="I24" s="38"/>
      <c r="J24" s="108"/>
      <c r="K24" s="108"/>
      <c r="L24" s="108"/>
      <c r="M24" s="108"/>
      <c r="N24" s="108"/>
      <c r="O24" s="108"/>
      <c r="P24" s="108"/>
      <c r="Q24" s="108"/>
      <c r="R24" s="108"/>
    </row>
    <row r="25" spans="1:18" s="51" customFormat="1" x14ac:dyDescent="0.25">
      <c r="A25" s="1"/>
      <c r="B25" s="1" t="s">
        <v>12</v>
      </c>
      <c r="C25" s="11">
        <f>C19+C22</f>
        <v>188180</v>
      </c>
      <c r="D25" s="11">
        <f t="shared" ref="D25:G25" si="12">D19+D22</f>
        <v>310836</v>
      </c>
      <c r="E25" s="11">
        <f t="shared" si="12"/>
        <v>445819</v>
      </c>
      <c r="F25" s="11">
        <f t="shared" si="12"/>
        <v>563656</v>
      </c>
      <c r="G25" s="11">
        <f t="shared" si="12"/>
        <v>911356</v>
      </c>
      <c r="H25" s="11">
        <f>H19+H22</f>
        <v>955608</v>
      </c>
      <c r="I25" s="38">
        <f t="shared" ref="I25:R25" si="13">I19+I22</f>
        <v>737760</v>
      </c>
      <c r="J25" s="108">
        <f t="shared" si="13"/>
        <v>769560</v>
      </c>
      <c r="K25" s="108">
        <f t="shared" si="13"/>
        <v>800127.02</v>
      </c>
      <c r="L25" s="108">
        <f t="shared" si="13"/>
        <v>831899.88727999991</v>
      </c>
      <c r="M25" s="108">
        <f t="shared" si="13"/>
        <v>864925.78628609981</v>
      </c>
      <c r="N25" s="108">
        <f t="shared" si="13"/>
        <v>899253.72971514368</v>
      </c>
      <c r="O25" s="108">
        <f t="shared" si="13"/>
        <v>934934.62850024214</v>
      </c>
      <c r="P25" s="108">
        <f t="shared" si="13"/>
        <v>972021.36443461594</v>
      </c>
      <c r="Q25" s="108">
        <f t="shared" si="13"/>
        <v>1010568.8655312489</v>
      </c>
      <c r="R25" s="108">
        <f t="shared" si="13"/>
        <v>1050634.1842193527</v>
      </c>
    </row>
    <row r="26" spans="1:18" s="51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67"/>
      <c r="K26" s="67"/>
      <c r="L26" s="67"/>
      <c r="M26" s="67"/>
      <c r="N26" s="67"/>
      <c r="O26" s="67"/>
      <c r="P26" s="67"/>
      <c r="Q26" s="67"/>
      <c r="R26" s="67"/>
    </row>
    <row r="27" spans="1:18" s="51" customFormat="1" x14ac:dyDescent="0.25">
      <c r="A27" s="1"/>
      <c r="B27" s="1" t="s">
        <v>13</v>
      </c>
      <c r="C27" s="11">
        <f>C16-C25</f>
        <v>39632</v>
      </c>
      <c r="D27" s="11">
        <f t="shared" ref="D27:R27" si="14">D16-D25</f>
        <v>69063</v>
      </c>
      <c r="E27" s="11">
        <f t="shared" si="14"/>
        <v>91039</v>
      </c>
      <c r="F27" s="11">
        <f t="shared" si="14"/>
        <v>134159</v>
      </c>
      <c r="G27" s="11">
        <f t="shared" si="14"/>
        <v>216241</v>
      </c>
      <c r="H27" s="11">
        <f t="shared" si="14"/>
        <v>184806</v>
      </c>
      <c r="I27" s="38">
        <f>I16-I25</f>
        <v>68440</v>
      </c>
      <c r="J27" s="108">
        <f t="shared" si="14"/>
        <v>77440</v>
      </c>
      <c r="K27" s="108">
        <f t="shared" si="14"/>
        <v>87080.069999999949</v>
      </c>
      <c r="L27" s="108">
        <f t="shared" si="14"/>
        <v>97405.999459999846</v>
      </c>
      <c r="M27" s="108">
        <f t="shared" si="14"/>
        <v>108458.94780412992</v>
      </c>
      <c r="N27" s="108">
        <f t="shared" si="14"/>
        <v>120282.34601285355</v>
      </c>
      <c r="O27" s="108">
        <f t="shared" si="14"/>
        <v>132922.01587303763</v>
      </c>
      <c r="P27" s="108">
        <f t="shared" si="14"/>
        <v>146426.29528341978</v>
      </c>
      <c r="Q27" s="108">
        <f t="shared" si="14"/>
        <v>160846.16991574538</v>
      </c>
      <c r="R27" s="108">
        <f t="shared" si="14"/>
        <v>176235.41154647199</v>
      </c>
    </row>
    <row r="28" spans="1:18" s="51" customFormat="1" x14ac:dyDescent="0.25">
      <c r="A28" s="1"/>
      <c r="B28" s="1" t="s">
        <v>54</v>
      </c>
      <c r="C28" s="78">
        <f>'Raw IS'!L17</f>
        <v>694</v>
      </c>
      <c r="D28" s="78">
        <f>'Raw IS'!M17</f>
        <v>1485</v>
      </c>
      <c r="E28" s="78">
        <f>'Raw IS'!N17</f>
        <v>1324</v>
      </c>
      <c r="F28" s="78">
        <f>'Raw IS'!D17</f>
        <v>106</v>
      </c>
      <c r="G28" s="78">
        <f>'Raw IS'!E17</f>
        <v>-112</v>
      </c>
      <c r="H28" s="78">
        <f>'Raw IS'!F17</f>
        <v>-747</v>
      </c>
      <c r="I28" s="20">
        <f t="shared" ref="I28:R28" si="15">I29*I11</f>
        <v>1160</v>
      </c>
      <c r="J28" s="104">
        <f t="shared" si="15"/>
        <v>0</v>
      </c>
      <c r="K28" s="104">
        <f t="shared" si="15"/>
        <v>631.01499999999999</v>
      </c>
      <c r="L28" s="104">
        <f t="shared" si="15"/>
        <v>658.14864499999987</v>
      </c>
      <c r="M28" s="104">
        <f t="shared" si="15"/>
        <v>686.44903673499982</v>
      </c>
      <c r="N28" s="104">
        <f t="shared" si="15"/>
        <v>715.96634531460484</v>
      </c>
      <c r="O28" s="104">
        <f t="shared" si="15"/>
        <v>746.75289816313273</v>
      </c>
      <c r="P28" s="104">
        <f t="shared" si="15"/>
        <v>778.8632727841474</v>
      </c>
      <c r="Q28" s="104">
        <f t="shared" si="15"/>
        <v>812.35439351386572</v>
      </c>
      <c r="R28" s="104">
        <f t="shared" si="15"/>
        <v>847.28563243496183</v>
      </c>
    </row>
    <row r="29" spans="1:18" s="51" customFormat="1" x14ac:dyDescent="0.25">
      <c r="A29" s="1"/>
      <c r="B29" s="71" t="s">
        <v>16</v>
      </c>
      <c r="C29" s="72">
        <f t="shared" ref="C29:H29" si="16">C28/C11</f>
        <v>2.3013433345602744E-3</v>
      </c>
      <c r="D29" s="72">
        <f t="shared" si="16"/>
        <v>2.9640541074604345E-3</v>
      </c>
      <c r="E29" s="72">
        <f t="shared" si="16"/>
        <v>1.8551939826699101E-3</v>
      </c>
      <c r="F29" s="72">
        <f t="shared" si="16"/>
        <v>1.1338814473461826E-4</v>
      </c>
      <c r="G29" s="72">
        <f t="shared" si="16"/>
        <v>-7.3390311299421327E-5</v>
      </c>
      <c r="H29" s="72">
        <f t="shared" si="16"/>
        <v>-4.6729059657432827E-4</v>
      </c>
      <c r="I29" s="76">
        <v>1E-3</v>
      </c>
      <c r="J29" s="107">
        <v>0</v>
      </c>
      <c r="K29" s="107">
        <v>5.0000000000000001E-4</v>
      </c>
      <c r="L29" s="107">
        <v>5.0000000000000001E-4</v>
      </c>
      <c r="M29" s="107">
        <v>5.0000000000000001E-4</v>
      </c>
      <c r="N29" s="107">
        <v>5.0000000000000001E-4</v>
      </c>
      <c r="O29" s="107">
        <v>5.0000000000000001E-4</v>
      </c>
      <c r="P29" s="107">
        <v>5.0000000000000001E-4</v>
      </c>
      <c r="Q29" s="107">
        <v>5.0000000000000001E-4</v>
      </c>
      <c r="R29" s="107">
        <v>5.0000000000000001E-4</v>
      </c>
    </row>
    <row r="30" spans="1:18" s="51" customFormat="1" x14ac:dyDescent="0.25">
      <c r="A30" s="1"/>
      <c r="B30" s="1"/>
      <c r="C30" s="65"/>
      <c r="D30" s="65"/>
      <c r="E30" s="65"/>
      <c r="F30" s="65"/>
      <c r="G30" s="65"/>
      <c r="H30" s="65"/>
      <c r="I30" s="12"/>
      <c r="J30" s="106"/>
      <c r="K30" s="106"/>
      <c r="L30" s="106"/>
      <c r="M30" s="106"/>
      <c r="N30" s="106"/>
      <c r="O30" s="106"/>
      <c r="P30" s="106"/>
      <c r="Q30" s="106"/>
      <c r="R30" s="106"/>
    </row>
    <row r="31" spans="1:18" s="51" customFormat="1" x14ac:dyDescent="0.25">
      <c r="A31" s="1"/>
      <c r="B31" s="1" t="s">
        <v>14</v>
      </c>
      <c r="C31" s="11">
        <f>C27+C28</f>
        <v>40326</v>
      </c>
      <c r="D31" s="11">
        <f t="shared" ref="D31:R31" si="17">D27+D28</f>
        <v>70548</v>
      </c>
      <c r="E31" s="11">
        <f t="shared" si="17"/>
        <v>92363</v>
      </c>
      <c r="F31" s="11">
        <f t="shared" si="17"/>
        <v>134265</v>
      </c>
      <c r="G31" s="11">
        <f t="shared" si="17"/>
        <v>216129</v>
      </c>
      <c r="H31" s="11">
        <f>H27+H28</f>
        <v>184059</v>
      </c>
      <c r="I31" s="38">
        <f t="shared" si="17"/>
        <v>69600</v>
      </c>
      <c r="J31" s="108">
        <f t="shared" si="17"/>
        <v>77440</v>
      </c>
      <c r="K31" s="108">
        <f t="shared" si="17"/>
        <v>87711.084999999948</v>
      </c>
      <c r="L31" s="108">
        <f t="shared" si="17"/>
        <v>98064.14810499984</v>
      </c>
      <c r="M31" s="108">
        <f t="shared" si="17"/>
        <v>109145.39684086491</v>
      </c>
      <c r="N31" s="108">
        <f t="shared" si="17"/>
        <v>120998.31235816816</v>
      </c>
      <c r="O31" s="108">
        <f t="shared" si="17"/>
        <v>133668.76877120076</v>
      </c>
      <c r="P31" s="108">
        <f t="shared" si="17"/>
        <v>147205.15855620394</v>
      </c>
      <c r="Q31" s="108">
        <f t="shared" si="17"/>
        <v>161658.52430925926</v>
      </c>
      <c r="R31" s="108">
        <f t="shared" si="17"/>
        <v>177082.69717890696</v>
      </c>
    </row>
    <row r="32" spans="1:18" s="51" customFormat="1" x14ac:dyDescent="0.25">
      <c r="A32" s="1"/>
      <c r="B32" s="1"/>
      <c r="C32" s="21"/>
      <c r="D32" s="21"/>
      <c r="E32" s="21"/>
      <c r="F32" s="21"/>
      <c r="G32" s="21"/>
      <c r="H32" s="65"/>
      <c r="I32" s="12"/>
      <c r="J32" s="106"/>
      <c r="K32" s="106"/>
      <c r="L32" s="106"/>
      <c r="M32" s="106"/>
      <c r="N32" s="106"/>
      <c r="O32" s="106"/>
      <c r="P32" s="106"/>
      <c r="Q32" s="106"/>
      <c r="R32" s="106"/>
    </row>
    <row r="33" spans="1:86" s="51" customFormat="1" x14ac:dyDescent="0.25">
      <c r="A33" s="1"/>
      <c r="B33" s="1" t="s">
        <v>15</v>
      </c>
      <c r="C33" s="11">
        <f>C27</f>
        <v>39632</v>
      </c>
      <c r="D33" s="11">
        <f t="shared" ref="D33:R33" si="18">D27</f>
        <v>69063</v>
      </c>
      <c r="E33" s="11">
        <f t="shared" si="18"/>
        <v>91039</v>
      </c>
      <c r="F33" s="11">
        <f t="shared" si="18"/>
        <v>134159</v>
      </c>
      <c r="G33" s="11">
        <f t="shared" si="18"/>
        <v>216241</v>
      </c>
      <c r="H33" s="11">
        <f t="shared" si="18"/>
        <v>184806</v>
      </c>
      <c r="I33" s="38">
        <f t="shared" si="18"/>
        <v>68440</v>
      </c>
      <c r="J33" s="108">
        <f t="shared" si="18"/>
        <v>77440</v>
      </c>
      <c r="K33" s="108">
        <f t="shared" si="18"/>
        <v>87080.069999999949</v>
      </c>
      <c r="L33" s="108">
        <f t="shared" si="18"/>
        <v>97405.999459999846</v>
      </c>
      <c r="M33" s="108">
        <f t="shared" si="18"/>
        <v>108458.94780412992</v>
      </c>
      <c r="N33" s="108">
        <f t="shared" si="18"/>
        <v>120282.34601285355</v>
      </c>
      <c r="O33" s="108">
        <f t="shared" si="18"/>
        <v>132922.01587303763</v>
      </c>
      <c r="P33" s="108">
        <f t="shared" si="18"/>
        <v>146426.29528341978</v>
      </c>
      <c r="Q33" s="108">
        <f t="shared" si="18"/>
        <v>160846.16991574538</v>
      </c>
      <c r="R33" s="108">
        <f t="shared" si="18"/>
        <v>176235.41154647199</v>
      </c>
    </row>
    <row r="34" spans="1:86" s="51" customFormat="1" x14ac:dyDescent="0.25">
      <c r="A34" s="1"/>
      <c r="B34" s="71" t="s">
        <v>16</v>
      </c>
      <c r="C34" s="72">
        <f t="shared" ref="C34:R34" si="19">C33/C11</f>
        <v>0.13142195826411066</v>
      </c>
      <c r="D34" s="72">
        <f t="shared" si="19"/>
        <v>0.13784947395524577</v>
      </c>
      <c r="E34" s="72">
        <f t="shared" si="19"/>
        <v>0.12756420316335795</v>
      </c>
      <c r="F34" s="72">
        <f t="shared" si="19"/>
        <v>0.14350981235331745</v>
      </c>
      <c r="G34" s="72">
        <f t="shared" si="19"/>
        <v>0.14169637772944793</v>
      </c>
      <c r="H34" s="72">
        <f t="shared" si="19"/>
        <v>0.11560656759105128</v>
      </c>
      <c r="I34" s="73">
        <f t="shared" si="19"/>
        <v>5.8999999999999997E-2</v>
      </c>
      <c r="J34" s="74">
        <f t="shared" si="19"/>
        <v>6.4000000000000001E-2</v>
      </c>
      <c r="K34" s="74">
        <f t="shared" si="19"/>
        <v>6.8999999999999964E-2</v>
      </c>
      <c r="L34" s="74">
        <f t="shared" si="19"/>
        <v>7.3999999999999899E-2</v>
      </c>
      <c r="M34" s="74">
        <f t="shared" si="19"/>
        <v>7.8999999999999959E-2</v>
      </c>
      <c r="N34" s="74">
        <f t="shared" si="19"/>
        <v>8.3999999999999964E-2</v>
      </c>
      <c r="O34" s="74">
        <f t="shared" si="19"/>
        <v>8.8999999999999996E-2</v>
      </c>
      <c r="P34" s="74">
        <f t="shared" si="19"/>
        <v>9.4000000000000042E-2</v>
      </c>
      <c r="Q34" s="74">
        <f t="shared" si="19"/>
        <v>9.8999999999999991E-2</v>
      </c>
      <c r="R34" s="74">
        <f t="shared" si="19"/>
        <v>0.10399999999999995</v>
      </c>
    </row>
    <row r="35" spans="1:86" s="51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06"/>
      <c r="K35" s="106"/>
      <c r="L35" s="106"/>
      <c r="M35" s="106"/>
      <c r="N35" s="106"/>
      <c r="O35" s="106"/>
      <c r="P35" s="106"/>
      <c r="Q35" s="106"/>
      <c r="R35" s="106"/>
    </row>
    <row r="36" spans="1:86" s="51" customFormat="1" x14ac:dyDescent="0.25">
      <c r="A36" s="1"/>
      <c r="B36" s="1" t="s">
        <v>17</v>
      </c>
      <c r="C36" s="11">
        <f>'Raw IS'!L21</f>
        <v>12605</v>
      </c>
      <c r="D36" s="11">
        <f>'Raw IS'!M21</f>
        <v>14759</v>
      </c>
      <c r="E36" s="11">
        <f>'Raw IS'!N21</f>
        <v>14447</v>
      </c>
      <c r="F36" s="11">
        <f>'Raw IS'!D21</f>
        <v>31406</v>
      </c>
      <c r="G36" s="11">
        <f>'Raw IS'!E21</f>
        <v>52098</v>
      </c>
      <c r="H36" s="11">
        <f>'Raw IS'!F21</f>
        <v>40491</v>
      </c>
      <c r="I36" s="20">
        <f>I33*I37</f>
        <v>17110</v>
      </c>
      <c r="J36" s="104">
        <f t="shared" ref="J36:R36" si="20">J33*J37</f>
        <v>19360</v>
      </c>
      <c r="K36" s="104">
        <f t="shared" si="20"/>
        <v>21770.017499999987</v>
      </c>
      <c r="L36" s="104">
        <f t="shared" si="20"/>
        <v>24351.499864999962</v>
      </c>
      <c r="M36" s="104">
        <f t="shared" si="20"/>
        <v>27114.736951032479</v>
      </c>
      <c r="N36" s="104">
        <f t="shared" si="20"/>
        <v>30070.586503213388</v>
      </c>
      <c r="O36" s="104">
        <f t="shared" si="20"/>
        <v>33230.503968259407</v>
      </c>
      <c r="P36" s="104">
        <f t="shared" si="20"/>
        <v>36606.573820854945</v>
      </c>
      <c r="Q36" s="104">
        <f t="shared" si="20"/>
        <v>40211.542478936346</v>
      </c>
      <c r="R36" s="104">
        <f t="shared" si="20"/>
        <v>44058.852886617999</v>
      </c>
    </row>
    <row r="37" spans="1:86" s="51" customFormat="1" x14ac:dyDescent="0.25">
      <c r="A37" s="1"/>
      <c r="B37" s="71" t="s">
        <v>18</v>
      </c>
      <c r="C37" s="75">
        <f>C36/C33</f>
        <v>0.31805106984255149</v>
      </c>
      <c r="D37" s="75">
        <f t="shared" ref="D37:H37" si="21">D36/D33</f>
        <v>0.2137034302014103</v>
      </c>
      <c r="E37" s="75">
        <f t="shared" si="21"/>
        <v>0.15869023165895935</v>
      </c>
      <c r="F37" s="75">
        <f t="shared" si="21"/>
        <v>0.23409536445560863</v>
      </c>
      <c r="G37" s="75">
        <f t="shared" si="21"/>
        <v>0.24092563389921431</v>
      </c>
      <c r="H37" s="75">
        <f t="shared" si="21"/>
        <v>0.21910002921983052</v>
      </c>
      <c r="I37" s="76">
        <v>0.25</v>
      </c>
      <c r="J37" s="107">
        <v>0.25</v>
      </c>
      <c r="K37" s="107">
        <v>0.25</v>
      </c>
      <c r="L37" s="107">
        <v>0.25</v>
      </c>
      <c r="M37" s="107">
        <v>0.25</v>
      </c>
      <c r="N37" s="107">
        <v>0.25</v>
      </c>
      <c r="O37" s="107">
        <v>0.25</v>
      </c>
      <c r="P37" s="107">
        <v>0.25</v>
      </c>
      <c r="Q37" s="107">
        <v>0.25</v>
      </c>
      <c r="R37" s="107">
        <v>0.25</v>
      </c>
    </row>
    <row r="38" spans="1:86" s="51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06"/>
      <c r="K38" s="106"/>
      <c r="L38" s="106"/>
      <c r="M38" s="106"/>
      <c r="N38" s="106"/>
      <c r="O38" s="106"/>
      <c r="P38" s="106"/>
      <c r="Q38" s="106"/>
      <c r="R38" s="106"/>
    </row>
    <row r="39" spans="1:86" s="51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4">
        <v>2023</v>
      </c>
      <c r="J39" s="109">
        <v>2024</v>
      </c>
      <c r="K39" s="109">
        <v>2025</v>
      </c>
      <c r="L39" s="109">
        <v>2026</v>
      </c>
      <c r="M39" s="109">
        <v>2027</v>
      </c>
      <c r="N39" s="109">
        <v>2028</v>
      </c>
      <c r="O39" s="109">
        <v>2029</v>
      </c>
      <c r="P39" s="109">
        <v>2030</v>
      </c>
      <c r="Q39" s="109">
        <v>2031</v>
      </c>
      <c r="R39" s="10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1" customFormat="1" x14ac:dyDescent="0.25">
      <c r="A40" s="1"/>
      <c r="B40" s="1" t="s">
        <v>20</v>
      </c>
      <c r="C40" s="11">
        <f>'Raw CF'!L9</f>
        <v>4209</v>
      </c>
      <c r="D40" s="11">
        <f>'Raw CF'!M9</f>
        <v>4435</v>
      </c>
      <c r="E40" s="11">
        <f>'Raw CF'!N9</f>
        <v>4624</v>
      </c>
      <c r="F40" s="11">
        <f>'Raw CF'!D9</f>
        <v>4316</v>
      </c>
      <c r="G40" s="11">
        <f>'Raw CF'!E9</f>
        <v>6812</v>
      </c>
      <c r="H40" s="11">
        <f>'Raw CF'!F9</f>
        <v>10980</v>
      </c>
      <c r="I40" s="20">
        <v>11800</v>
      </c>
      <c r="J40" s="104">
        <v>12100</v>
      </c>
      <c r="K40" s="104">
        <v>171.2</v>
      </c>
      <c r="L40" s="104">
        <f t="shared" ref="L40" si="22">L41*L11</f>
        <v>13162.972899999999</v>
      </c>
      <c r="M40" s="104">
        <f t="shared" ref="M40" si="23">M41*M11</f>
        <v>13728.980734699997</v>
      </c>
      <c r="N40" s="104">
        <f t="shared" ref="N40" si="24">N41*N11</f>
        <v>14319.326906292097</v>
      </c>
      <c r="O40" s="104">
        <f t="shared" ref="O40" si="25">O41*O11</f>
        <v>14935.057963262654</v>
      </c>
      <c r="P40" s="104">
        <f t="shared" ref="P40" si="26">P41*P11</f>
        <v>15577.265455682949</v>
      </c>
      <c r="Q40" s="104">
        <f t="shared" ref="Q40" si="27">Q41*Q11</f>
        <v>16247.087870277313</v>
      </c>
      <c r="R40" s="104">
        <f t="shared" ref="R40" si="28">R41*R11</f>
        <v>16945.712648699238</v>
      </c>
    </row>
    <row r="41" spans="1:86" s="51" customFormat="1" x14ac:dyDescent="0.25">
      <c r="A41" s="1"/>
      <c r="B41" s="71" t="s">
        <v>16</v>
      </c>
      <c r="C41" s="72">
        <f t="shared" ref="C41:R41" si="29">C40/C11</f>
        <v>1.395728255787348E-2</v>
      </c>
      <c r="D41" s="72">
        <f t="shared" si="29"/>
        <v>8.8522424017421046E-3</v>
      </c>
      <c r="E41" s="72">
        <f t="shared" si="29"/>
        <v>6.4791669002006525E-3</v>
      </c>
      <c r="F41" s="72">
        <f t="shared" si="29"/>
        <v>4.6168229497604947E-3</v>
      </c>
      <c r="G41" s="72">
        <f t="shared" si="29"/>
        <v>4.4637035765326613E-3</v>
      </c>
      <c r="H41" s="72">
        <f t="shared" si="29"/>
        <v>6.8686087689238621E-3</v>
      </c>
      <c r="I41" s="73">
        <f t="shared" si="29"/>
        <v>1.0172413793103447E-2</v>
      </c>
      <c r="J41" s="74">
        <f t="shared" si="29"/>
        <v>0.01</v>
      </c>
      <c r="K41" s="74">
        <v>0.01</v>
      </c>
      <c r="L41" s="74">
        <v>0.01</v>
      </c>
      <c r="M41" s="74">
        <v>0.01</v>
      </c>
      <c r="N41" s="74">
        <v>0.01</v>
      </c>
      <c r="O41" s="74">
        <v>0.01</v>
      </c>
      <c r="P41" s="74">
        <v>0.01</v>
      </c>
      <c r="Q41" s="74">
        <v>0.01</v>
      </c>
      <c r="R41" s="74">
        <v>0.01</v>
      </c>
    </row>
    <row r="42" spans="1:86" s="51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06"/>
      <c r="K42" s="106"/>
      <c r="L42" s="106"/>
      <c r="M42" s="106"/>
      <c r="N42" s="106"/>
      <c r="O42" s="106"/>
      <c r="P42" s="106"/>
      <c r="Q42" s="106"/>
      <c r="R42" s="106"/>
    </row>
    <row r="43" spans="1:86" s="51" customFormat="1" x14ac:dyDescent="0.25">
      <c r="A43" s="1"/>
      <c r="B43" s="1" t="s">
        <v>21</v>
      </c>
      <c r="C43" s="11">
        <f>'Raw CF'!L28</f>
        <v>-3242</v>
      </c>
      <c r="D43" s="11">
        <f>'Raw CF'!M28</f>
        <v>-4940</v>
      </c>
      <c r="E43" s="11">
        <f>'Raw CF'!N28</f>
        <v>-10058</v>
      </c>
      <c r="F43" s="37">
        <f>'Raw CF'!D25</f>
        <v>-5887</v>
      </c>
      <c r="G43" s="37">
        <f>'Raw CF'!E25</f>
        <v>-34209</v>
      </c>
      <c r="H43" s="37">
        <f>'Raw CF'!F25</f>
        <v>-16681</v>
      </c>
      <c r="I43" s="20">
        <v>-15800</v>
      </c>
      <c r="J43" s="104">
        <v>-18200</v>
      </c>
      <c r="K43" s="104">
        <f t="shared" ref="K43:Q43" si="30">K44*K11</f>
        <v>-18982.599999999999</v>
      </c>
      <c r="L43" s="104">
        <f t="shared" si="30"/>
        <v>-19798.851799999997</v>
      </c>
      <c r="M43" s="104">
        <f t="shared" si="30"/>
        <v>-20650.202427399996</v>
      </c>
      <c r="N43" s="104">
        <f t="shared" si="30"/>
        <v>-21538.161131778194</v>
      </c>
      <c r="O43" s="104">
        <f t="shared" si="30"/>
        <v>-22464.302060444654</v>
      </c>
      <c r="P43" s="104">
        <f t="shared" si="30"/>
        <v>-23430.26704904377</v>
      </c>
      <c r="Q43" s="104">
        <f t="shared" si="30"/>
        <v>-24437.768532152651</v>
      </c>
      <c r="R43" s="104">
        <f>R44*R11</f>
        <v>-25488.592579035216</v>
      </c>
    </row>
    <row r="44" spans="1:86" s="51" customFormat="1" x14ac:dyDescent="0.25">
      <c r="A44" s="1"/>
      <c r="B44" s="71" t="s">
        <v>16</v>
      </c>
      <c r="C44" s="72">
        <f t="shared" ref="C44:K44" si="31">C43/C11</f>
        <v>-1.0750655750208083E-2</v>
      </c>
      <c r="D44" s="72">
        <f t="shared" si="31"/>
        <v>-9.8602203978818484E-3</v>
      </c>
      <c r="E44" s="72">
        <f t="shared" si="31"/>
        <v>-1.4093308971067942E-2</v>
      </c>
      <c r="F44" s="72">
        <f t="shared" si="31"/>
        <v>-6.2973208306858269E-3</v>
      </c>
      <c r="G44" s="72">
        <f t="shared" si="31"/>
        <v>-2.2416153207517001E-2</v>
      </c>
      <c r="H44" s="72">
        <f t="shared" si="31"/>
        <v>-1.04349055441183E-2</v>
      </c>
      <c r="I44" s="73">
        <f t="shared" si="31"/>
        <v>-1.3620689655172415E-2</v>
      </c>
      <c r="J44" s="74">
        <f t="shared" si="31"/>
        <v>-1.5041322314049586E-2</v>
      </c>
      <c r="K44" s="74">
        <v>-1.5041322314049586E-2</v>
      </c>
      <c r="L44" s="74">
        <v>-1.5041322314049586E-2</v>
      </c>
      <c r="M44" s="74">
        <v>-1.5041322314049586E-2</v>
      </c>
      <c r="N44" s="74">
        <v>-1.5041322314049586E-2</v>
      </c>
      <c r="O44" s="74">
        <v>-1.5041322314049586E-2</v>
      </c>
      <c r="P44" s="74">
        <v>-1.5041322314049586E-2</v>
      </c>
      <c r="Q44" s="74">
        <v>-1.5041322314049586E-2</v>
      </c>
      <c r="R44" s="74">
        <v>-1.5041322314049586E-2</v>
      </c>
    </row>
    <row r="45" spans="1:86" s="51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06"/>
      <c r="K45" s="106"/>
      <c r="L45" s="106"/>
      <c r="M45" s="106"/>
      <c r="N45" s="106"/>
      <c r="O45" s="106"/>
      <c r="P45" s="106"/>
      <c r="Q45" s="106"/>
      <c r="R45" s="106"/>
    </row>
    <row r="46" spans="1:86" s="51" customFormat="1" x14ac:dyDescent="0.25">
      <c r="A46" s="1"/>
      <c r="B46" s="1" t="s">
        <v>22</v>
      </c>
      <c r="C46" s="11">
        <f>SUM('Raw CF'!L16:L21)</f>
        <v>6715</v>
      </c>
      <c r="D46" s="11">
        <f>SUM('Raw CF'!M16:M21)</f>
        <v>-1522</v>
      </c>
      <c r="E46" s="11">
        <f>SUM('Raw CF'!N16:N21)</f>
        <v>-8506</v>
      </c>
      <c r="F46" s="66">
        <f>SUM('Raw CF'!D16:D20)</f>
        <v>26903</v>
      </c>
      <c r="G46" s="66">
        <f>SUM('Raw CF'!E16:E20)</f>
        <v>-87646</v>
      </c>
      <c r="H46" s="66">
        <f>SUM('Raw CF'!F16:F20)</f>
        <v>21651</v>
      </c>
      <c r="I46" s="20">
        <f t="shared" ref="I46:R46" si="32">I47*I11</f>
        <v>16240</v>
      </c>
      <c r="J46" s="104">
        <f t="shared" si="32"/>
        <v>16940</v>
      </c>
      <c r="K46" s="104">
        <f t="shared" si="32"/>
        <v>17668.420000000002</v>
      </c>
      <c r="L46" s="104">
        <f t="shared" si="32"/>
        <v>18428.162059999999</v>
      </c>
      <c r="M46" s="104">
        <f t="shared" si="32"/>
        <v>19220.573028579995</v>
      </c>
      <c r="N46" s="104">
        <f t="shared" si="32"/>
        <v>20047.057668808935</v>
      </c>
      <c r="O46" s="104">
        <f t="shared" si="32"/>
        <v>20909.081148567715</v>
      </c>
      <c r="P46" s="104">
        <f t="shared" si="32"/>
        <v>21808.171637956129</v>
      </c>
      <c r="Q46" s="104">
        <f t="shared" si="32"/>
        <v>22745.923018388239</v>
      </c>
      <c r="R46" s="104">
        <f t="shared" si="32"/>
        <v>23723.997708178933</v>
      </c>
    </row>
    <row r="47" spans="1:86" s="51" customFormat="1" x14ac:dyDescent="0.25">
      <c r="A47" s="1"/>
      <c r="B47" s="71" t="s">
        <v>16</v>
      </c>
      <c r="C47" s="72">
        <f t="shared" ref="C47:H47" si="33">C46/C11</f>
        <v>2.2267320593043576E-2</v>
      </c>
      <c r="D47" s="72">
        <f t="shared" si="33"/>
        <v>-3.0379059606429502E-3</v>
      </c>
      <c r="E47" s="72">
        <f t="shared" si="33"/>
        <v>-1.1918640495914089E-2</v>
      </c>
      <c r="F47" s="72">
        <f t="shared" si="33"/>
        <v>2.8778125073541837E-2</v>
      </c>
      <c r="G47" s="72">
        <f t="shared" si="33"/>
        <v>-5.7431850215616802E-2</v>
      </c>
      <c r="H47" s="72">
        <f t="shared" si="33"/>
        <v>1.354392062440533E-2</v>
      </c>
      <c r="I47" s="76">
        <v>1.4E-2</v>
      </c>
      <c r="J47" s="107">
        <v>1.4E-2</v>
      </c>
      <c r="K47" s="107">
        <v>1.4E-2</v>
      </c>
      <c r="L47" s="107">
        <v>1.4E-2</v>
      </c>
      <c r="M47" s="107">
        <v>1.4E-2</v>
      </c>
      <c r="N47" s="107">
        <v>1.4E-2</v>
      </c>
      <c r="O47" s="107">
        <v>1.4E-2</v>
      </c>
      <c r="P47" s="107">
        <v>1.4E-2</v>
      </c>
      <c r="Q47" s="107">
        <v>1.4E-2</v>
      </c>
      <c r="R47" s="107">
        <v>1.4E-2</v>
      </c>
    </row>
    <row r="48" spans="1:86" s="51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06"/>
      <c r="K48" s="106"/>
      <c r="L48" s="106"/>
      <c r="M48" s="106"/>
      <c r="N48" s="106"/>
      <c r="O48" s="106"/>
      <c r="P48" s="106"/>
      <c r="Q48" s="106"/>
      <c r="R48" s="106"/>
    </row>
    <row r="49" spans="1:86" s="51" customFormat="1" x14ac:dyDescent="0.25">
      <c r="A49" s="1"/>
      <c r="B49" s="9" t="s">
        <v>23</v>
      </c>
      <c r="C49" s="11">
        <f t="shared" ref="C49:G49" si="34">C33+C36</f>
        <v>52237</v>
      </c>
      <c r="D49" s="11">
        <f t="shared" si="34"/>
        <v>83822</v>
      </c>
      <c r="E49" s="11">
        <f t="shared" si="34"/>
        <v>105486</v>
      </c>
      <c r="F49" s="11">
        <f t="shared" si="34"/>
        <v>165565</v>
      </c>
      <c r="G49" s="11">
        <f t="shared" si="34"/>
        <v>268339</v>
      </c>
      <c r="H49" s="11">
        <f>H33+H36</f>
        <v>225297</v>
      </c>
      <c r="I49" s="38">
        <f t="shared" ref="I49:R49" si="35">I33+I36</f>
        <v>85550</v>
      </c>
      <c r="J49" s="108">
        <f t="shared" si="35"/>
        <v>96800</v>
      </c>
      <c r="K49" s="108">
        <f t="shared" si="35"/>
        <v>108850.08749999994</v>
      </c>
      <c r="L49" s="108">
        <f t="shared" si="35"/>
        <v>121757.49932499981</v>
      </c>
      <c r="M49" s="108">
        <f t="shared" si="35"/>
        <v>135573.68475516239</v>
      </c>
      <c r="N49" s="108">
        <f t="shared" si="35"/>
        <v>150352.93251606694</v>
      </c>
      <c r="O49" s="108">
        <f t="shared" si="35"/>
        <v>166152.51984129703</v>
      </c>
      <c r="P49" s="108">
        <f t="shared" si="35"/>
        <v>183032.86910427472</v>
      </c>
      <c r="Q49" s="108">
        <f t="shared" si="35"/>
        <v>201057.71239468173</v>
      </c>
      <c r="R49" s="108">
        <f t="shared" si="35"/>
        <v>220294.26443308999</v>
      </c>
    </row>
    <row r="50" spans="1:86" s="51" customFormat="1" x14ac:dyDescent="0.25">
      <c r="A50" s="1"/>
      <c r="B50" s="9" t="s">
        <v>50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3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8">
        <v>0</v>
      </c>
      <c r="P50" s="108">
        <v>0</v>
      </c>
      <c r="Q50" s="108">
        <v>0</v>
      </c>
      <c r="R50" s="108">
        <v>0</v>
      </c>
    </row>
    <row r="51" spans="1:86" s="51" customFormat="1" x14ac:dyDescent="0.25">
      <c r="A51" s="1"/>
      <c r="B51" s="9" t="s">
        <v>24</v>
      </c>
      <c r="C51" s="11">
        <f>C31-C36+C50</f>
        <v>27721</v>
      </c>
      <c r="D51" s="11">
        <f t="shared" ref="D51:H51" si="36">D31-D36+D50</f>
        <v>55789</v>
      </c>
      <c r="E51" s="11">
        <f t="shared" si="36"/>
        <v>77916</v>
      </c>
      <c r="F51" s="11">
        <f t="shared" si="36"/>
        <v>102859</v>
      </c>
      <c r="G51" s="11">
        <f t="shared" si="36"/>
        <v>164031</v>
      </c>
      <c r="H51" s="11">
        <f t="shared" si="36"/>
        <v>143568</v>
      </c>
      <c r="I51" s="38">
        <f t="shared" ref="I51" si="37">I31+I36+I50</f>
        <v>86710</v>
      </c>
      <c r="J51" s="108">
        <f t="shared" ref="J51" si="38">J31+J36+J50</f>
        <v>96800</v>
      </c>
      <c r="K51" s="108">
        <f t="shared" ref="K51" si="39">K31+K36+K50</f>
        <v>109481.10249999994</v>
      </c>
      <c r="L51" s="108">
        <f t="shared" ref="L51" si="40">L31+L36+L50</f>
        <v>122415.6479699998</v>
      </c>
      <c r="M51" s="108">
        <f t="shared" ref="M51" si="41">M31+M36+M50</f>
        <v>136260.13379189739</v>
      </c>
      <c r="N51" s="108">
        <f t="shared" ref="N51" si="42">N31+N36+N50</f>
        <v>151068.89886138155</v>
      </c>
      <c r="O51" s="108">
        <f t="shared" ref="O51" si="43">O31+O36+O50</f>
        <v>166899.27273946017</v>
      </c>
      <c r="P51" s="108">
        <f t="shared" ref="P51" si="44">P31+P36+P50</f>
        <v>183811.73237705888</v>
      </c>
      <c r="Q51" s="108">
        <f t="shared" ref="Q51" si="45">Q31+Q36+Q50</f>
        <v>201870.0667881956</v>
      </c>
      <c r="R51" s="108">
        <f t="shared" ref="R51" si="46">R31+R36+R50</f>
        <v>221141.55006552496</v>
      </c>
      <c r="S51" s="52">
        <f>R51*(1+$E$6)</f>
        <v>223352.96556618021</v>
      </c>
      <c r="T51" s="52">
        <f t="shared" ref="T51:CE51" si="47">S51*(1+$E$6)</f>
        <v>225586.49522184202</v>
      </c>
      <c r="U51" s="52">
        <f t="shared" si="47"/>
        <v>227842.36017406045</v>
      </c>
      <c r="V51" s="52">
        <f t="shared" si="47"/>
        <v>230120.78377580104</v>
      </c>
      <c r="W51" s="52">
        <f t="shared" si="47"/>
        <v>232421.99161355905</v>
      </c>
      <c r="X51" s="52">
        <f t="shared" si="47"/>
        <v>234746.21152969464</v>
      </c>
      <c r="Y51" s="52">
        <f t="shared" si="47"/>
        <v>237093.67364499159</v>
      </c>
      <c r="Z51" s="52">
        <f t="shared" si="47"/>
        <v>239464.61038144151</v>
      </c>
      <c r="AA51" s="52">
        <f t="shared" si="47"/>
        <v>241859.25648525593</v>
      </c>
      <c r="AB51" s="52">
        <f t="shared" si="47"/>
        <v>244277.84905010849</v>
      </c>
      <c r="AC51" s="52">
        <f t="shared" si="47"/>
        <v>246720.62754060957</v>
      </c>
      <c r="AD51" s="52">
        <f t="shared" si="47"/>
        <v>249187.83381601566</v>
      </c>
      <c r="AE51" s="52">
        <f t="shared" si="47"/>
        <v>251679.71215417582</v>
      </c>
      <c r="AF51" s="52">
        <f t="shared" si="47"/>
        <v>254196.50927571757</v>
      </c>
      <c r="AG51" s="52">
        <f t="shared" si="47"/>
        <v>256738.47436847474</v>
      </c>
      <c r="AH51" s="52">
        <f t="shared" si="47"/>
        <v>259305.85911215949</v>
      </c>
      <c r="AI51" s="52">
        <f t="shared" si="47"/>
        <v>261898.9177032811</v>
      </c>
      <c r="AJ51" s="52">
        <f t="shared" si="47"/>
        <v>264517.90688031394</v>
      </c>
      <c r="AK51" s="52">
        <f t="shared" si="47"/>
        <v>267163.08594911708</v>
      </c>
      <c r="AL51" s="52">
        <f t="shared" si="47"/>
        <v>269834.71680860827</v>
      </c>
      <c r="AM51" s="52">
        <f t="shared" si="47"/>
        <v>272533.06397669436</v>
      </c>
      <c r="AN51" s="52">
        <f t="shared" si="47"/>
        <v>275258.3946164613</v>
      </c>
      <c r="AO51" s="52">
        <f t="shared" si="47"/>
        <v>278010.97856262594</v>
      </c>
      <c r="AP51" s="52">
        <f t="shared" si="47"/>
        <v>280791.08834825217</v>
      </c>
      <c r="AQ51" s="52">
        <f t="shared" si="47"/>
        <v>283598.99923173472</v>
      </c>
      <c r="AR51" s="52">
        <f t="shared" si="47"/>
        <v>286434.98922405206</v>
      </c>
      <c r="AS51" s="52">
        <f t="shared" si="47"/>
        <v>289299.3391162926</v>
      </c>
      <c r="AT51" s="52">
        <f t="shared" si="47"/>
        <v>292192.33250745555</v>
      </c>
      <c r="AU51" s="52">
        <f t="shared" si="47"/>
        <v>295114.25583253009</v>
      </c>
      <c r="AV51" s="52">
        <f t="shared" si="47"/>
        <v>298065.39839085541</v>
      </c>
      <c r="AW51" s="52">
        <f t="shared" si="47"/>
        <v>301046.05237476394</v>
      </c>
      <c r="AX51" s="52">
        <f t="shared" si="47"/>
        <v>304056.5128985116</v>
      </c>
      <c r="AY51" s="52">
        <f t="shared" si="47"/>
        <v>307097.0780274967</v>
      </c>
      <c r="AZ51" s="52">
        <f t="shared" si="47"/>
        <v>310168.04880777164</v>
      </c>
      <c r="BA51" s="52">
        <f t="shared" si="47"/>
        <v>313269.72929584933</v>
      </c>
      <c r="BB51" s="52">
        <f t="shared" si="47"/>
        <v>316402.42658880784</v>
      </c>
      <c r="BC51" s="52">
        <f t="shared" si="47"/>
        <v>319566.45085469593</v>
      </c>
      <c r="BD51" s="52">
        <f t="shared" si="47"/>
        <v>322762.11536324286</v>
      </c>
      <c r="BE51" s="52">
        <f t="shared" si="47"/>
        <v>325989.73651687527</v>
      </c>
      <c r="BF51" s="52">
        <f t="shared" si="47"/>
        <v>329249.633882044</v>
      </c>
      <c r="BG51" s="52">
        <f t="shared" si="47"/>
        <v>332542.13022086443</v>
      </c>
      <c r="BH51" s="52">
        <f t="shared" si="47"/>
        <v>335867.55152307305</v>
      </c>
      <c r="BI51" s="52">
        <f t="shared" si="47"/>
        <v>339226.2270383038</v>
      </c>
      <c r="BJ51" s="52">
        <f t="shared" si="47"/>
        <v>342618.48930868681</v>
      </c>
      <c r="BK51" s="52">
        <f t="shared" si="47"/>
        <v>346044.67420177365</v>
      </c>
      <c r="BL51" s="52">
        <f t="shared" si="47"/>
        <v>349505.12094379141</v>
      </c>
      <c r="BM51" s="52">
        <f t="shared" si="47"/>
        <v>353000.1721532293</v>
      </c>
      <c r="BN51" s="52">
        <f t="shared" si="47"/>
        <v>356530.17387476162</v>
      </c>
      <c r="BO51" s="52">
        <f t="shared" si="47"/>
        <v>360095.47561350925</v>
      </c>
      <c r="BP51" s="52">
        <f t="shared" si="47"/>
        <v>363696.43036964437</v>
      </c>
      <c r="BQ51" s="52">
        <f t="shared" si="47"/>
        <v>367333.39467334084</v>
      </c>
      <c r="BR51" s="52">
        <f t="shared" si="47"/>
        <v>371006.72862007422</v>
      </c>
      <c r="BS51" s="52">
        <f t="shared" si="47"/>
        <v>374716.79590627499</v>
      </c>
      <c r="BT51" s="52">
        <f t="shared" si="47"/>
        <v>378463.96386533772</v>
      </c>
      <c r="BU51" s="52">
        <f t="shared" si="47"/>
        <v>382248.60350399109</v>
      </c>
      <c r="BV51" s="52">
        <f t="shared" si="47"/>
        <v>386071.08953903103</v>
      </c>
      <c r="BW51" s="52">
        <f t="shared" si="47"/>
        <v>389931.80043442134</v>
      </c>
      <c r="BX51" s="52">
        <f t="shared" si="47"/>
        <v>393831.11843876558</v>
      </c>
      <c r="BY51" s="52">
        <f t="shared" si="47"/>
        <v>397769.42962315324</v>
      </c>
      <c r="BZ51" s="52">
        <f t="shared" si="47"/>
        <v>401747.12391938479</v>
      </c>
      <c r="CA51" s="52">
        <f t="shared" si="47"/>
        <v>405764.59515857865</v>
      </c>
      <c r="CB51" s="52">
        <f t="shared" si="47"/>
        <v>409822.24111016444</v>
      </c>
      <c r="CC51" s="52">
        <f t="shared" si="47"/>
        <v>413920.46352126607</v>
      </c>
      <c r="CD51" s="52">
        <f t="shared" si="47"/>
        <v>418059.66815647873</v>
      </c>
      <c r="CE51" s="52">
        <f t="shared" si="47"/>
        <v>422240.26483804354</v>
      </c>
      <c r="CF51" s="52">
        <f t="shared" ref="CF51:CH51" si="48">CE51*(1+$E$6)</f>
        <v>426462.66748642398</v>
      </c>
      <c r="CG51" s="52">
        <f t="shared" si="48"/>
        <v>430727.29416128824</v>
      </c>
      <c r="CH51" s="52">
        <f t="shared" si="48"/>
        <v>435034.56710290111</v>
      </c>
    </row>
    <row r="52" spans="1:86" s="51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106"/>
      <c r="K52" s="106"/>
      <c r="L52" s="106"/>
      <c r="M52" s="106"/>
      <c r="N52" s="106"/>
      <c r="O52" s="106"/>
      <c r="P52" s="106"/>
      <c r="Q52" s="106"/>
      <c r="R52" s="106"/>
    </row>
    <row r="53" spans="1:86" s="51" customFormat="1" x14ac:dyDescent="0.25">
      <c r="A53" s="1"/>
      <c r="B53" s="9" t="s">
        <v>25</v>
      </c>
      <c r="C53" s="11">
        <f t="shared" ref="C53:R53" si="49">C49+C40+C43-C46</f>
        <v>46489</v>
      </c>
      <c r="D53" s="11">
        <f t="shared" si="49"/>
        <v>84839</v>
      </c>
      <c r="E53" s="11">
        <f t="shared" si="49"/>
        <v>108558</v>
      </c>
      <c r="F53" s="11">
        <f t="shared" si="49"/>
        <v>137091</v>
      </c>
      <c r="G53" s="11">
        <f t="shared" si="49"/>
        <v>328588</v>
      </c>
      <c r="H53" s="11">
        <f t="shared" si="49"/>
        <v>197945</v>
      </c>
      <c r="I53" s="38">
        <f t="shared" si="49"/>
        <v>65310</v>
      </c>
      <c r="J53" s="108">
        <f t="shared" si="49"/>
        <v>73760</v>
      </c>
      <c r="K53" s="108">
        <f t="shared" si="49"/>
        <v>72370.267499999944</v>
      </c>
      <c r="L53" s="108">
        <f t="shared" si="49"/>
        <v>96693.458364999795</v>
      </c>
      <c r="M53" s="108">
        <f t="shared" si="49"/>
        <v>109431.89003388239</v>
      </c>
      <c r="N53" s="108">
        <f t="shared" si="49"/>
        <v>123087.04062177191</v>
      </c>
      <c r="O53" s="108">
        <f t="shared" si="49"/>
        <v>137714.19459554731</v>
      </c>
      <c r="P53" s="108">
        <f t="shared" si="49"/>
        <v>153371.69587295776</v>
      </c>
      <c r="Q53" s="108">
        <f t="shared" si="49"/>
        <v>170121.10871441817</v>
      </c>
      <c r="R53" s="108">
        <f t="shared" si="49"/>
        <v>188027.38679457508</v>
      </c>
    </row>
    <row r="54" spans="1:86" s="51" customFormat="1" x14ac:dyDescent="0.25">
      <c r="A54" s="1"/>
      <c r="B54" s="24" t="s">
        <v>26</v>
      </c>
      <c r="C54" s="1"/>
      <c r="D54" s="1"/>
      <c r="E54" s="1"/>
      <c r="F54" s="1"/>
      <c r="G54" s="1"/>
      <c r="H54" s="1"/>
      <c r="I54" s="68">
        <f t="shared" ref="I54:R54" si="50">I53/((1+$E$5)^I9)</f>
        <v>59139.51006667615</v>
      </c>
      <c r="J54" s="69">
        <f t="shared" si="50"/>
        <v>60480.724538651375</v>
      </c>
      <c r="K54" s="69">
        <f t="shared" si="50"/>
        <v>53734.633818526803</v>
      </c>
      <c r="L54" s="69">
        <f t="shared" si="50"/>
        <v>65011.359497444311</v>
      </c>
      <c r="M54" s="69">
        <f t="shared" si="50"/>
        <v>66624.519989399574</v>
      </c>
      <c r="N54" s="69">
        <f t="shared" si="50"/>
        <v>67857.922847659938</v>
      </c>
      <c r="O54" s="69">
        <f t="shared" si="50"/>
        <v>68748.776990108352</v>
      </c>
      <c r="P54" s="69">
        <f t="shared" si="50"/>
        <v>69331.329517532562</v>
      </c>
      <c r="Q54" s="69">
        <f t="shared" si="50"/>
        <v>69637.07993899053</v>
      </c>
      <c r="R54" s="69">
        <f t="shared" si="50"/>
        <v>69694.979737050482</v>
      </c>
    </row>
    <row r="55" spans="1:86" s="51" customFormat="1" x14ac:dyDescent="0.25">
      <c r="A55" s="1"/>
      <c r="B55" s="25"/>
      <c r="C55" s="25"/>
      <c r="D55" s="25"/>
      <c r="E55" s="25"/>
      <c r="F55" s="25"/>
      <c r="G55" s="25"/>
      <c r="H55" s="25"/>
      <c r="I55" s="70"/>
      <c r="J55" s="1"/>
      <c r="K55" s="1"/>
      <c r="L55" s="1"/>
      <c r="M55" s="1"/>
      <c r="N55" s="1"/>
      <c r="O55" s="1"/>
      <c r="P55" s="1"/>
      <c r="Q55" s="1"/>
      <c r="R55" s="1"/>
    </row>
    <row r="56" spans="1:86" s="51" customFormat="1" x14ac:dyDescent="0.25">
      <c r="A56" s="1"/>
      <c r="B56" s="1" t="s">
        <v>27</v>
      </c>
      <c r="C56" s="26">
        <f>(R53*(1+$E$6))/($E$5-$E$6)</f>
        <v>2013058.8108575307</v>
      </c>
      <c r="D56" s="1"/>
      <c r="E56" s="1" t="s">
        <v>28</v>
      </c>
      <c r="F56" s="18">
        <f>NPV($E$5,I51:CH51)</f>
        <v>1694294.821980058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1" customFormat="1" x14ac:dyDescent="0.25">
      <c r="A57" s="1"/>
      <c r="B57" s="3" t="s">
        <v>29</v>
      </c>
      <c r="C57" s="27">
        <f>C56/((1+$E$5)^$R$9)</f>
        <v>746168.39293463202</v>
      </c>
      <c r="D57" s="16"/>
      <c r="E57" s="3"/>
      <c r="F57" s="3"/>
      <c r="G57" s="3"/>
      <c r="H57" s="16"/>
      <c r="I57" s="12"/>
      <c r="J57" s="1"/>
      <c r="K57" s="2"/>
      <c r="L57" s="85" t="s">
        <v>55</v>
      </c>
      <c r="M57" s="85"/>
      <c r="N57" s="85"/>
      <c r="O57" s="85"/>
      <c r="P57" s="85"/>
      <c r="Q57" s="85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8" t="s">
        <v>31</v>
      </c>
      <c r="H58" s="28" t="s">
        <v>28</v>
      </c>
      <c r="I58" s="15"/>
      <c r="J58" s="1"/>
      <c r="K58" s="53"/>
      <c r="L58" s="58">
        <f>E64</f>
        <v>141.20885208229203</v>
      </c>
      <c r="M58" s="77">
        <v>-0.01</v>
      </c>
      <c r="N58" s="77">
        <v>0</v>
      </c>
      <c r="O58" s="77">
        <v>0.01</v>
      </c>
      <c r="P58" s="77">
        <v>0.02</v>
      </c>
      <c r="Q58" s="77">
        <v>0.03</v>
      </c>
    </row>
    <row r="59" spans="1:86" x14ac:dyDescent="0.25">
      <c r="A59" s="1"/>
      <c r="B59" s="29" t="s">
        <v>32</v>
      </c>
      <c r="C59" s="1"/>
      <c r="D59" s="23">
        <v>123748</v>
      </c>
      <c r="E59" s="1"/>
      <c r="F59" s="1"/>
      <c r="G59" s="26">
        <f>C57+SUM(I54:R54)</f>
        <v>1396429.2298766722</v>
      </c>
      <c r="H59" s="18">
        <f>F56</f>
        <v>1694294.821980058</v>
      </c>
      <c r="I59" s="15"/>
      <c r="K59" s="53"/>
      <c r="L59" s="55">
        <f>L60-0.5%</f>
        <v>8.9337860194766597E-2</v>
      </c>
      <c r="M59" s="59">
        <f t="dataTable" ref="M59:Q63" dt2D="1" dtr="1" r1="E6" r2="E5"/>
        <v>151.68718730604189</v>
      </c>
      <c r="N59" s="59">
        <v>161.41080439058669</v>
      </c>
      <c r="O59" s="59">
        <v>173.50693611367291</v>
      </c>
      <c r="P59" s="59">
        <v>188.91689016488635</v>
      </c>
      <c r="Q59" s="59">
        <v>209.12490592705092</v>
      </c>
    </row>
    <row r="60" spans="1:86" x14ac:dyDescent="0.25">
      <c r="A60" s="1"/>
      <c r="B60" s="30" t="s">
        <v>33</v>
      </c>
      <c r="C60" s="3"/>
      <c r="D60" s="79">
        <f>131742</f>
        <v>131742</v>
      </c>
      <c r="E60" s="3"/>
      <c r="F60" s="3"/>
      <c r="G60" s="3"/>
      <c r="H60" s="3"/>
      <c r="I60" s="15"/>
      <c r="K60" s="54"/>
      <c r="L60" s="55">
        <f>L61-1%</f>
        <v>9.4337860194766601E-2</v>
      </c>
      <c r="M60" s="59">
        <v>142.62469613358112</v>
      </c>
      <c r="N60" s="60">
        <v>151.05393842896603</v>
      </c>
      <c r="O60" s="60">
        <v>161.43032106020905</v>
      </c>
      <c r="P60" s="60">
        <v>174.4840418211231</v>
      </c>
      <c r="Q60" s="59">
        <v>191.34016342553571</v>
      </c>
      <c r="R60" s="47"/>
    </row>
    <row r="61" spans="1:86" x14ac:dyDescent="0.25">
      <c r="A61" s="1"/>
      <c r="B61" s="6" t="s">
        <v>34</v>
      </c>
      <c r="C61" s="6"/>
      <c r="D61" s="6"/>
      <c r="E61" s="6"/>
      <c r="F61" s="6"/>
      <c r="G61" s="31">
        <f>G59+D59-D60</f>
        <v>1388435.2298766722</v>
      </c>
      <c r="H61" s="32">
        <f>H59+D59-D60</f>
        <v>1686300.821980058</v>
      </c>
      <c r="I61" s="15"/>
      <c r="K61" s="53" t="s">
        <v>1</v>
      </c>
      <c r="L61" s="55">
        <v>0.1043378601947666</v>
      </c>
      <c r="M61" s="59">
        <v>127.02009823189215</v>
      </c>
      <c r="N61" s="60">
        <v>133.44482654254193</v>
      </c>
      <c r="O61" s="61">
        <v>141.20885208229203</v>
      </c>
      <c r="P61" s="60">
        <v>150.76447523284327</v>
      </c>
      <c r="Q61" s="59">
        <v>162.78220722302552</v>
      </c>
    </row>
    <row r="62" spans="1:86" x14ac:dyDescent="0.25">
      <c r="A62" s="1"/>
      <c r="B62" s="3" t="s">
        <v>35</v>
      </c>
      <c r="C62" s="3"/>
      <c r="D62" s="37">
        <f>10887193/1000</f>
        <v>10887.192999999999</v>
      </c>
      <c r="E62" s="3"/>
      <c r="F62" s="3"/>
      <c r="G62" s="3"/>
      <c r="H62" s="33"/>
      <c r="I62" s="15"/>
      <c r="K62" s="53"/>
      <c r="L62" s="56">
        <f>L61+1%</f>
        <v>0.11433786019476659</v>
      </c>
      <c r="M62" s="59">
        <v>114.09538404580934</v>
      </c>
      <c r="N62" s="60">
        <v>119.07403358202409</v>
      </c>
      <c r="O62" s="60">
        <v>124.99682353257134</v>
      </c>
      <c r="P62" s="60">
        <v>132.15332873409548</v>
      </c>
      <c r="Q62" s="59">
        <v>140.95948408940745</v>
      </c>
    </row>
    <row r="63" spans="1:86" x14ac:dyDescent="0.25">
      <c r="A63" s="1"/>
      <c r="B63" s="17" t="s">
        <v>36</v>
      </c>
      <c r="C63" s="17"/>
      <c r="D63" s="62">
        <f>D62*$J$5</f>
        <v>1065747.32277</v>
      </c>
      <c r="E63" s="17"/>
      <c r="F63" s="17"/>
      <c r="G63" s="17"/>
      <c r="H63" s="34"/>
      <c r="I63" s="1"/>
      <c r="K63" s="53"/>
      <c r="L63" s="56">
        <f>L62+0.5%</f>
        <v>0.1193378601947666</v>
      </c>
      <c r="M63" s="59">
        <v>108.44111267234666</v>
      </c>
      <c r="N63" s="59">
        <v>112.84784846293192</v>
      </c>
      <c r="O63" s="59">
        <v>118.05380193597809</v>
      </c>
      <c r="P63" s="59">
        <v>124.29319201088796</v>
      </c>
      <c r="Q63" s="59">
        <v>131.89779595970458</v>
      </c>
    </row>
    <row r="64" spans="1:86" x14ac:dyDescent="0.25">
      <c r="A64" s="1"/>
      <c r="B64" s="6" t="s">
        <v>37</v>
      </c>
      <c r="D64" s="6" t="s">
        <v>38</v>
      </c>
      <c r="E64" s="35">
        <f>(G64+H64)/2</f>
        <v>141.20885208229203</v>
      </c>
      <c r="F64" s="6"/>
      <c r="G64" s="35">
        <f>G61/D62</f>
        <v>127.52921987115249</v>
      </c>
      <c r="H64" s="36">
        <f>H61/D62</f>
        <v>154.88848429343156</v>
      </c>
      <c r="I64" s="15"/>
    </row>
    <row r="65" spans="2:9" x14ac:dyDescent="0.25">
      <c r="B65" s="40"/>
      <c r="C65" s="40"/>
      <c r="D65" s="40"/>
      <c r="E65" s="40"/>
      <c r="F65" s="40"/>
      <c r="G65" s="40"/>
      <c r="H65" s="40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R47"/>
  <sheetViews>
    <sheetView topLeftCell="A7" workbookViewId="0">
      <selection activeCell="H19" sqref="H19"/>
    </sheetView>
  </sheetViews>
  <sheetFormatPr defaultRowHeight="15" x14ac:dyDescent="0.25"/>
  <cols>
    <col min="4" max="6" width="12" customWidth="1"/>
    <col min="9" max="9" width="18.85546875" customWidth="1"/>
    <col min="12" max="15" width="11.42578125" customWidth="1"/>
  </cols>
  <sheetData>
    <row r="1" spans="1:18" x14ac:dyDescent="0.25">
      <c r="A1" s="86" t="s">
        <v>64</v>
      </c>
      <c r="B1" s="86"/>
      <c r="C1" s="86"/>
      <c r="D1" s="86"/>
      <c r="E1" s="86"/>
      <c r="F1" s="86"/>
      <c r="I1" s="86" t="s">
        <v>64</v>
      </c>
      <c r="J1" s="86"/>
      <c r="K1" s="86"/>
      <c r="L1" s="86"/>
      <c r="M1" s="86"/>
      <c r="N1" s="86"/>
    </row>
    <row r="3" spans="1:18" x14ac:dyDescent="0.25"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</row>
    <row r="4" spans="1:18" x14ac:dyDescent="0.25">
      <c r="D4" s="86" t="s">
        <v>58</v>
      </c>
      <c r="E4" s="86" t="s">
        <v>57</v>
      </c>
      <c r="F4" s="86" t="s">
        <v>56</v>
      </c>
      <c r="G4" s="86"/>
      <c r="H4" s="86"/>
      <c r="I4" t="s">
        <v>106</v>
      </c>
      <c r="J4" t="s">
        <v>106</v>
      </c>
      <c r="L4" s="86" t="s">
        <v>109</v>
      </c>
      <c r="M4" s="86" t="s">
        <v>108</v>
      </c>
      <c r="N4" s="86" t="s">
        <v>107</v>
      </c>
      <c r="O4" s="91" t="s">
        <v>106</v>
      </c>
      <c r="P4" s="91" t="s">
        <v>106</v>
      </c>
      <c r="Q4" s="86"/>
      <c r="R4" s="86"/>
    </row>
    <row r="5" spans="1:18" x14ac:dyDescent="0.25">
      <c r="I5" t="s">
        <v>106</v>
      </c>
      <c r="J5" t="s">
        <v>106</v>
      </c>
      <c r="L5" s="91" t="s">
        <v>106</v>
      </c>
      <c r="M5" s="91" t="s">
        <v>106</v>
      </c>
      <c r="N5" t="s">
        <v>106</v>
      </c>
      <c r="O5" s="91" t="s">
        <v>106</v>
      </c>
      <c r="P5" s="91" t="s">
        <v>106</v>
      </c>
      <c r="Q5" s="92" t="s">
        <v>106</v>
      </c>
      <c r="R5" s="92" t="s">
        <v>106</v>
      </c>
    </row>
    <row r="6" spans="1:18" x14ac:dyDescent="0.25">
      <c r="A6" s="86" t="s">
        <v>7</v>
      </c>
      <c r="B6" s="86"/>
      <c r="C6" s="86"/>
      <c r="D6" s="87">
        <v>934842</v>
      </c>
      <c r="E6" s="87">
        <v>1526087</v>
      </c>
      <c r="F6" s="87">
        <v>1598577</v>
      </c>
      <c r="G6" s="87"/>
      <c r="H6" s="87"/>
      <c r="I6" t="s">
        <v>7</v>
      </c>
      <c r="J6" t="s">
        <v>106</v>
      </c>
      <c r="L6" s="93">
        <v>301563</v>
      </c>
      <c r="M6" s="93">
        <v>501003</v>
      </c>
      <c r="N6" s="93">
        <v>713672</v>
      </c>
      <c r="O6" t="s">
        <v>106</v>
      </c>
      <c r="P6" t="s">
        <v>106</v>
      </c>
      <c r="Q6" s="93"/>
      <c r="R6" s="93"/>
    </row>
    <row r="7" spans="1:18" x14ac:dyDescent="0.25">
      <c r="A7" s="86" t="s">
        <v>65</v>
      </c>
      <c r="B7" s="86"/>
      <c r="C7" s="86"/>
      <c r="D7" s="88">
        <v>237027</v>
      </c>
      <c r="E7" s="88">
        <v>398490</v>
      </c>
      <c r="F7" s="88">
        <v>458163</v>
      </c>
      <c r="G7" s="88"/>
      <c r="H7" s="88"/>
      <c r="I7" t="s">
        <v>65</v>
      </c>
      <c r="J7" t="s">
        <v>106</v>
      </c>
      <c r="K7" s="86" t="s">
        <v>106</v>
      </c>
      <c r="L7" s="94">
        <v>73751</v>
      </c>
      <c r="M7" s="94">
        <v>121104</v>
      </c>
      <c r="N7" s="94">
        <v>176814</v>
      </c>
      <c r="O7" s="86" t="s">
        <v>106</v>
      </c>
      <c r="P7" s="86" t="s">
        <v>106</v>
      </c>
      <c r="Q7" t="s">
        <v>106</v>
      </c>
      <c r="R7" t="s">
        <v>106</v>
      </c>
    </row>
    <row r="8" spans="1:18" x14ac:dyDescent="0.25">
      <c r="A8" s="86" t="s">
        <v>66</v>
      </c>
      <c r="B8" s="86"/>
      <c r="C8" s="86"/>
      <c r="D8" s="88">
        <v>697815</v>
      </c>
      <c r="E8" s="88">
        <v>1127597</v>
      </c>
      <c r="F8" s="88">
        <v>1140414</v>
      </c>
      <c r="G8" s="88"/>
      <c r="H8" s="88"/>
      <c r="I8" s="86" t="s">
        <v>66</v>
      </c>
      <c r="J8" s="86" t="s">
        <v>106</v>
      </c>
      <c r="K8" s="86" t="s">
        <v>106</v>
      </c>
      <c r="L8" s="95">
        <v>227812</v>
      </c>
      <c r="M8" s="95">
        <v>379899</v>
      </c>
      <c r="N8" s="95">
        <v>536858</v>
      </c>
      <c r="O8" s="86" t="s">
        <v>106</v>
      </c>
      <c r="P8" s="86" t="s">
        <v>106</v>
      </c>
      <c r="Q8" s="86" t="s">
        <v>106</v>
      </c>
      <c r="R8" s="86" t="s">
        <v>106</v>
      </c>
    </row>
    <row r="9" spans="1:18" x14ac:dyDescent="0.25">
      <c r="I9" s="86" t="s">
        <v>106</v>
      </c>
      <c r="J9" s="86" t="s">
        <v>106</v>
      </c>
      <c r="K9" s="86" t="s">
        <v>106</v>
      </c>
      <c r="L9" s="86" t="s">
        <v>106</v>
      </c>
      <c r="M9" s="86" t="s">
        <v>106</v>
      </c>
      <c r="N9" s="86" t="s">
        <v>106</v>
      </c>
      <c r="O9" s="86" t="s">
        <v>106</v>
      </c>
      <c r="P9" s="86" t="s">
        <v>106</v>
      </c>
      <c r="Q9" s="86" t="s">
        <v>106</v>
      </c>
      <c r="R9" s="86" t="s">
        <v>106</v>
      </c>
    </row>
    <row r="10" spans="1:18" x14ac:dyDescent="0.25">
      <c r="A10" s="86" t="s">
        <v>67</v>
      </c>
      <c r="B10" s="86"/>
      <c r="C10" s="86"/>
      <c r="D10" s="88">
        <v>563656</v>
      </c>
      <c r="E10" s="88">
        <v>911356</v>
      </c>
      <c r="F10" s="88">
        <v>955608</v>
      </c>
      <c r="G10" s="88"/>
      <c r="H10" s="88"/>
      <c r="I10" t="s">
        <v>67</v>
      </c>
      <c r="J10" t="s">
        <v>106</v>
      </c>
      <c r="K10" s="86" t="s">
        <v>106</v>
      </c>
      <c r="L10" s="94">
        <v>188180</v>
      </c>
      <c r="M10" s="94">
        <v>310836</v>
      </c>
      <c r="N10" s="94">
        <v>445819</v>
      </c>
      <c r="O10" s="86" t="s">
        <v>106</v>
      </c>
      <c r="P10" s="86" t="s">
        <v>106</v>
      </c>
      <c r="Q10" t="s">
        <v>106</v>
      </c>
      <c r="R10" t="s">
        <v>106</v>
      </c>
    </row>
    <row r="11" spans="1:18" x14ac:dyDescent="0.25"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</row>
    <row r="12" spans="1:18" x14ac:dyDescent="0.25">
      <c r="A12" s="86" t="s">
        <v>68</v>
      </c>
      <c r="B12" s="86"/>
      <c r="C12" s="86"/>
      <c r="D12" s="88">
        <v>134159</v>
      </c>
      <c r="E12" s="88">
        <v>216241</v>
      </c>
      <c r="F12" s="88">
        <v>184806</v>
      </c>
      <c r="G12" s="88"/>
      <c r="H12" s="88"/>
      <c r="I12" s="86" t="s">
        <v>68</v>
      </c>
      <c r="J12" s="86" t="s">
        <v>106</v>
      </c>
      <c r="K12" s="86" t="s">
        <v>106</v>
      </c>
      <c r="L12" s="95">
        <v>39632</v>
      </c>
      <c r="M12" s="95">
        <v>69063</v>
      </c>
      <c r="N12" s="95">
        <v>91039</v>
      </c>
      <c r="O12" s="86" t="s">
        <v>106</v>
      </c>
      <c r="P12" s="86" t="s">
        <v>106</v>
      </c>
      <c r="Q12" s="86" t="s">
        <v>106</v>
      </c>
      <c r="R12" s="86" t="s">
        <v>106</v>
      </c>
    </row>
    <row r="13" spans="1:18" x14ac:dyDescent="0.25">
      <c r="I13" t="s">
        <v>106</v>
      </c>
      <c r="J13" t="s">
        <v>106</v>
      </c>
      <c r="K13" s="86" t="s">
        <v>106</v>
      </c>
      <c r="L13" s="86" t="s">
        <v>106</v>
      </c>
      <c r="M13" s="86" t="s">
        <v>106</v>
      </c>
      <c r="N13" s="86" t="s">
        <v>106</v>
      </c>
      <c r="O13" s="86" t="s">
        <v>106</v>
      </c>
      <c r="P13" s="86" t="s">
        <v>106</v>
      </c>
      <c r="Q13" s="86" t="s">
        <v>106</v>
      </c>
      <c r="R13" s="86" t="s">
        <v>106</v>
      </c>
    </row>
    <row r="14" spans="1:18" x14ac:dyDescent="0.25">
      <c r="A14" s="86" t="s">
        <v>69</v>
      </c>
      <c r="B14" s="86"/>
      <c r="C14" s="86"/>
      <c r="I14" t="s">
        <v>54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</row>
    <row r="15" spans="1:18" x14ac:dyDescent="0.25">
      <c r="A15" s="86" t="s">
        <v>70</v>
      </c>
      <c r="B15" s="86"/>
      <c r="C15" s="86"/>
      <c r="D15" s="88">
        <v>246</v>
      </c>
      <c r="E15" s="89">
        <v>-231</v>
      </c>
      <c r="F15" s="89">
        <v>-701</v>
      </c>
      <c r="G15" s="89"/>
      <c r="H15" s="89"/>
      <c r="I15" t="s">
        <v>110</v>
      </c>
      <c r="J15" t="s">
        <v>106</v>
      </c>
      <c r="K15" t="s">
        <v>106</v>
      </c>
      <c r="L15" s="94">
        <v>558</v>
      </c>
      <c r="M15" s="94">
        <v>1306</v>
      </c>
      <c r="N15" s="94">
        <v>1295</v>
      </c>
      <c r="O15" t="s">
        <v>106</v>
      </c>
      <c r="P15" t="s">
        <v>106</v>
      </c>
      <c r="Q15" t="s">
        <v>106</v>
      </c>
      <c r="R15" t="s">
        <v>106</v>
      </c>
    </row>
    <row r="16" spans="1:18" x14ac:dyDescent="0.25">
      <c r="A16" s="86" t="s">
        <v>69</v>
      </c>
      <c r="B16" s="86"/>
      <c r="C16" s="86"/>
      <c r="D16" s="89">
        <v>-140</v>
      </c>
      <c r="E16" s="88">
        <v>119</v>
      </c>
      <c r="F16" s="89">
        <v>-46</v>
      </c>
      <c r="G16" s="89"/>
      <c r="I16" t="s">
        <v>54</v>
      </c>
      <c r="J16" t="s">
        <v>106</v>
      </c>
      <c r="K16" s="86" t="s">
        <v>106</v>
      </c>
      <c r="L16" s="94">
        <v>136</v>
      </c>
      <c r="M16" s="94">
        <v>179</v>
      </c>
      <c r="N16" s="94">
        <v>29</v>
      </c>
      <c r="O16" s="86" t="s">
        <v>106</v>
      </c>
      <c r="P16" s="86" t="s">
        <v>106</v>
      </c>
      <c r="Q16" t="s">
        <v>106</v>
      </c>
      <c r="R16" t="s">
        <v>106</v>
      </c>
    </row>
    <row r="17" spans="1:18" x14ac:dyDescent="0.25">
      <c r="D17" s="88">
        <v>106</v>
      </c>
      <c r="E17" s="89">
        <v>-112</v>
      </c>
      <c r="F17" s="89">
        <v>-747</v>
      </c>
      <c r="G17" s="89"/>
      <c r="H17" s="89"/>
      <c r="I17" t="s">
        <v>106</v>
      </c>
      <c r="J17" t="s">
        <v>106</v>
      </c>
      <c r="K17" t="s">
        <v>106</v>
      </c>
      <c r="L17" s="94">
        <v>694</v>
      </c>
      <c r="M17" s="94">
        <v>1485</v>
      </c>
      <c r="N17" s="94">
        <v>1324</v>
      </c>
      <c r="O17" t="s">
        <v>106</v>
      </c>
      <c r="P17" t="s">
        <v>106</v>
      </c>
      <c r="Q17" t="s">
        <v>106</v>
      </c>
      <c r="R17" t="s">
        <v>106</v>
      </c>
    </row>
    <row r="18" spans="1:18" x14ac:dyDescent="0.25"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</row>
    <row r="19" spans="1:18" ht="30" customHeight="1" x14ac:dyDescent="0.25">
      <c r="A19" s="86" t="s">
        <v>71</v>
      </c>
      <c r="B19" s="86"/>
      <c r="C19" s="86"/>
      <c r="D19" s="88">
        <v>134265</v>
      </c>
      <c r="E19" s="88">
        <v>216129</v>
      </c>
      <c r="F19" s="88">
        <v>184059</v>
      </c>
      <c r="G19" s="88"/>
      <c r="H19" s="88"/>
      <c r="I19" s="86" t="s">
        <v>111</v>
      </c>
      <c r="J19" s="86" t="s">
        <v>106</v>
      </c>
      <c r="K19" s="86" t="s">
        <v>106</v>
      </c>
      <c r="L19" s="95">
        <v>40326</v>
      </c>
      <c r="M19" s="95">
        <v>70548</v>
      </c>
      <c r="N19" s="95">
        <v>92363</v>
      </c>
      <c r="O19" s="86" t="s">
        <v>106</v>
      </c>
      <c r="P19" s="86" t="s">
        <v>106</v>
      </c>
      <c r="Q19" s="86" t="s">
        <v>106</v>
      </c>
      <c r="R19" s="86" t="s">
        <v>106</v>
      </c>
    </row>
    <row r="20" spans="1:18" x14ac:dyDescent="0.25">
      <c r="I20" s="86" t="s">
        <v>106</v>
      </c>
      <c r="J20" s="86" t="s">
        <v>106</v>
      </c>
      <c r="K20" s="86" t="s">
        <v>106</v>
      </c>
      <c r="L20" s="86" t="s">
        <v>106</v>
      </c>
      <c r="M20" s="86" t="s">
        <v>106</v>
      </c>
      <c r="N20" s="86" t="s">
        <v>106</v>
      </c>
      <c r="O20" s="86" t="s">
        <v>106</v>
      </c>
      <c r="P20" s="86" t="s">
        <v>106</v>
      </c>
      <c r="Q20" s="86" t="s">
        <v>106</v>
      </c>
      <c r="R20" s="86" t="s">
        <v>106</v>
      </c>
    </row>
    <row r="21" spans="1:18" x14ac:dyDescent="0.25">
      <c r="A21" s="86" t="s">
        <v>72</v>
      </c>
      <c r="B21" s="86"/>
      <c r="C21" s="86"/>
      <c r="D21" s="88">
        <v>31406</v>
      </c>
      <c r="E21" s="88">
        <v>52098</v>
      </c>
      <c r="F21" s="88">
        <v>40491</v>
      </c>
      <c r="G21" s="88"/>
      <c r="H21" s="88"/>
      <c r="I21" t="s">
        <v>72</v>
      </c>
      <c r="J21" t="s">
        <v>106</v>
      </c>
      <c r="K21" s="86" t="s">
        <v>106</v>
      </c>
      <c r="L21" s="94">
        <v>12605</v>
      </c>
      <c r="M21" s="94">
        <v>14759</v>
      </c>
      <c r="N21" s="94">
        <v>14447</v>
      </c>
      <c r="O21" s="86" t="s">
        <v>106</v>
      </c>
      <c r="P21" s="86" t="s">
        <v>106</v>
      </c>
      <c r="Q21" t="s">
        <v>106</v>
      </c>
      <c r="R21" t="s">
        <v>106</v>
      </c>
    </row>
    <row r="22" spans="1:18" x14ac:dyDescent="0.25">
      <c r="I22" t="s">
        <v>106</v>
      </c>
      <c r="J22" t="s">
        <v>106</v>
      </c>
      <c r="K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s="86" t="s">
        <v>106</v>
      </c>
      <c r="R22" s="86" t="s">
        <v>106</v>
      </c>
    </row>
    <row r="23" spans="1:18" x14ac:dyDescent="0.25">
      <c r="A23" s="86" t="s">
        <v>24</v>
      </c>
      <c r="B23" s="86"/>
      <c r="C23" s="86"/>
      <c r="D23" s="87">
        <v>102859</v>
      </c>
      <c r="E23" s="87">
        <v>164031</v>
      </c>
      <c r="F23" s="87">
        <v>143568</v>
      </c>
      <c r="G23" s="87"/>
      <c r="H23" s="87"/>
      <c r="I23" s="86" t="s">
        <v>24</v>
      </c>
      <c r="J23" s="86" t="s">
        <v>106</v>
      </c>
      <c r="L23" s="87">
        <v>27721</v>
      </c>
      <c r="M23" s="87">
        <v>55789</v>
      </c>
      <c r="N23" s="87">
        <v>77916</v>
      </c>
      <c r="O23" s="86" t="s">
        <v>106</v>
      </c>
      <c r="P23" s="86" t="s">
        <v>106</v>
      </c>
      <c r="Q23" s="87"/>
      <c r="R23" s="87"/>
    </row>
    <row r="24" spans="1:18" x14ac:dyDescent="0.25">
      <c r="I24" s="86" t="s">
        <v>106</v>
      </c>
      <c r="J24" s="86" t="s">
        <v>106</v>
      </c>
      <c r="L24" s="86" t="s">
        <v>106</v>
      </c>
      <c r="M24" s="86" t="s">
        <v>106</v>
      </c>
      <c r="N24" s="86" t="s">
        <v>106</v>
      </c>
      <c r="O24" s="86" t="s">
        <v>106</v>
      </c>
      <c r="P24" s="86" t="s">
        <v>106</v>
      </c>
      <c r="Q24" s="86" t="s">
        <v>106</v>
      </c>
      <c r="R24" s="86" t="s">
        <v>106</v>
      </c>
    </row>
    <row r="25" spans="1:18" x14ac:dyDescent="0.25">
      <c r="A25" s="86" t="s">
        <v>73</v>
      </c>
      <c r="B25" s="86"/>
      <c r="C25" s="86"/>
      <c r="D25" s="90">
        <v>8.74</v>
      </c>
      <c r="E25" s="90">
        <v>14.01</v>
      </c>
      <c r="F25" s="90">
        <v>12.82</v>
      </c>
      <c r="G25" s="90"/>
      <c r="H25" s="90"/>
      <c r="I25" t="s">
        <v>73</v>
      </c>
      <c r="J25" t="s">
        <v>106</v>
      </c>
      <c r="L25" s="96">
        <v>2.3199999999999998</v>
      </c>
      <c r="M25" s="96">
        <v>4.67</v>
      </c>
      <c r="N25" s="96">
        <v>6.62</v>
      </c>
      <c r="O25" t="s">
        <v>106</v>
      </c>
      <c r="P25" t="s">
        <v>106</v>
      </c>
      <c r="Q25" s="96"/>
      <c r="R25" s="96"/>
    </row>
    <row r="26" spans="1:18" x14ac:dyDescent="0.25">
      <c r="I26" t="s">
        <v>106</v>
      </c>
      <c r="J26" t="s">
        <v>106</v>
      </c>
      <c r="L26" t="s">
        <v>106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</row>
    <row r="27" spans="1:18" x14ac:dyDescent="0.25">
      <c r="A27" s="86" t="s">
        <v>74</v>
      </c>
      <c r="B27" s="86"/>
      <c r="C27" s="86"/>
      <c r="D27" s="90">
        <v>8.68</v>
      </c>
      <c r="E27" s="90">
        <v>13.89</v>
      </c>
      <c r="F27" s="90">
        <v>12.73</v>
      </c>
      <c r="G27" s="90"/>
      <c r="H27" s="90"/>
      <c r="I27" t="s">
        <v>74</v>
      </c>
      <c r="J27" t="s">
        <v>106</v>
      </c>
      <c r="L27" s="96">
        <v>2.29</v>
      </c>
      <c r="M27" s="96">
        <v>4.62</v>
      </c>
      <c r="N27" s="96">
        <v>6.43</v>
      </c>
      <c r="O27" t="s">
        <v>106</v>
      </c>
      <c r="P27" t="s">
        <v>106</v>
      </c>
      <c r="Q27" s="96"/>
      <c r="R27" s="96"/>
    </row>
    <row r="28" spans="1:18" x14ac:dyDescent="0.25">
      <c r="I28" t="s">
        <v>106</v>
      </c>
      <c r="J28" t="s">
        <v>106</v>
      </c>
      <c r="K28" t="s">
        <v>106</v>
      </c>
      <c r="L28" t="s">
        <v>106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R28" t="s">
        <v>106</v>
      </c>
    </row>
    <row r="29" spans="1:18" x14ac:dyDescent="0.25">
      <c r="A29" s="86" t="s">
        <v>75</v>
      </c>
      <c r="B29" s="86"/>
      <c r="C29" s="86"/>
      <c r="I29" s="86" t="s">
        <v>112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</row>
    <row r="30" spans="1:18" x14ac:dyDescent="0.25">
      <c r="A30" s="86" t="s">
        <v>61</v>
      </c>
      <c r="B30" s="86"/>
      <c r="C30" s="86"/>
      <c r="D30" s="88">
        <v>11771</v>
      </c>
      <c r="E30" s="88">
        <v>11705</v>
      </c>
      <c r="F30" s="88">
        <v>11195</v>
      </c>
      <c r="G30" s="88"/>
      <c r="H30" s="88"/>
      <c r="I30" t="s">
        <v>61</v>
      </c>
      <c r="J30" t="s">
        <v>106</v>
      </c>
      <c r="K30" t="s">
        <v>106</v>
      </c>
      <c r="L30" s="94">
        <v>11924</v>
      </c>
      <c r="M30" s="94">
        <v>11947</v>
      </c>
      <c r="N30" s="94">
        <v>11771</v>
      </c>
      <c r="O30" t="s">
        <v>106</v>
      </c>
      <c r="P30" t="s">
        <v>106</v>
      </c>
      <c r="Q30" t="s">
        <v>106</v>
      </c>
      <c r="R30" t="s">
        <v>106</v>
      </c>
    </row>
    <row r="31" spans="1:18" x14ac:dyDescent="0.25">
      <c r="A31" s="86" t="s">
        <v>62</v>
      </c>
      <c r="B31" s="86"/>
      <c r="C31" s="86"/>
      <c r="D31" s="88">
        <v>11850</v>
      </c>
      <c r="E31" s="88">
        <v>11813</v>
      </c>
      <c r="F31" s="88">
        <v>11276</v>
      </c>
      <c r="G31" s="88"/>
      <c r="H31" s="88"/>
      <c r="I31" t="s">
        <v>62</v>
      </c>
      <c r="J31" t="s">
        <v>106</v>
      </c>
      <c r="K31" t="s">
        <v>106</v>
      </c>
      <c r="L31" s="94">
        <v>12088</v>
      </c>
      <c r="M31" s="94">
        <v>12079</v>
      </c>
      <c r="N31" s="94">
        <v>12117</v>
      </c>
      <c r="O31" t="s">
        <v>106</v>
      </c>
      <c r="P31" t="s">
        <v>106</v>
      </c>
      <c r="Q31" t="s">
        <v>106</v>
      </c>
      <c r="R31" t="s">
        <v>106</v>
      </c>
    </row>
    <row r="32" spans="1:18" x14ac:dyDescent="0.25">
      <c r="I32" t="s">
        <v>106</v>
      </c>
      <c r="J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</row>
    <row r="33" spans="1:18" x14ac:dyDescent="0.25">
      <c r="A33" s="86" t="s">
        <v>76</v>
      </c>
      <c r="B33" s="86"/>
      <c r="C33" s="86"/>
      <c r="D33" s="90">
        <v>4.5199999999999996</v>
      </c>
      <c r="E33" s="90">
        <v>5.68</v>
      </c>
      <c r="F33" s="90">
        <v>6.56</v>
      </c>
      <c r="G33" s="90"/>
      <c r="H33" s="90"/>
      <c r="I33" t="s">
        <v>76</v>
      </c>
      <c r="J33" t="s">
        <v>106</v>
      </c>
      <c r="L33" s="96">
        <v>1.44</v>
      </c>
      <c r="M33" s="96">
        <v>2.19</v>
      </c>
      <c r="N33" s="96">
        <v>3.38</v>
      </c>
      <c r="O33" t="s">
        <v>106</v>
      </c>
      <c r="P33" t="s">
        <v>106</v>
      </c>
      <c r="Q33" s="96"/>
      <c r="R33" s="96"/>
    </row>
    <row r="36" spans="1:18" x14ac:dyDescent="0.25">
      <c r="D36" s="83"/>
    </row>
    <row r="37" spans="1:18" x14ac:dyDescent="0.25">
      <c r="D37" s="82"/>
    </row>
    <row r="38" spans="1:18" x14ac:dyDescent="0.25">
      <c r="D38" s="82"/>
    </row>
    <row r="41" spans="1:18" x14ac:dyDescent="0.25">
      <c r="D41" s="83"/>
    </row>
    <row r="42" spans="1:18" x14ac:dyDescent="0.25">
      <c r="D42" s="82"/>
    </row>
    <row r="43" spans="1:18" x14ac:dyDescent="0.25">
      <c r="D43" s="82"/>
    </row>
    <row r="46" spans="1:18" x14ac:dyDescent="0.25">
      <c r="D46" s="81"/>
    </row>
    <row r="47" spans="1:18" x14ac:dyDescent="0.25">
      <c r="D47" s="81"/>
    </row>
  </sheetData>
  <sortState xmlns:xlrd2="http://schemas.microsoft.com/office/spreadsheetml/2017/richdata2" columnSort="1" ref="L4:R34">
    <sortCondition ref="L4:R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R53"/>
  <sheetViews>
    <sheetView topLeftCell="A7" workbookViewId="0">
      <selection activeCell="D29" sqref="D29"/>
    </sheetView>
  </sheetViews>
  <sheetFormatPr defaultRowHeight="15" x14ac:dyDescent="0.25"/>
  <cols>
    <col min="4" max="6" width="12.5703125" customWidth="1"/>
    <col min="9" max="9" width="29.28515625" customWidth="1"/>
  </cols>
  <sheetData>
    <row r="1" spans="1:18" x14ac:dyDescent="0.25">
      <c r="A1" s="86" t="s">
        <v>52</v>
      </c>
      <c r="B1" s="86"/>
      <c r="C1" s="86"/>
      <c r="D1" s="86"/>
      <c r="E1" s="86"/>
      <c r="F1" s="86"/>
      <c r="I1" s="97" t="s">
        <v>52</v>
      </c>
      <c r="J1" s="97"/>
      <c r="K1" s="97"/>
      <c r="L1" s="97"/>
      <c r="M1" s="97"/>
      <c r="N1" s="97"/>
    </row>
    <row r="3" spans="1:18" x14ac:dyDescent="0.25"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</row>
    <row r="4" spans="1:18" x14ac:dyDescent="0.25">
      <c r="D4" s="86" t="s">
        <v>58</v>
      </c>
      <c r="E4" s="86" t="s">
        <v>57</v>
      </c>
      <c r="F4" s="86" t="s">
        <v>56</v>
      </c>
      <c r="G4" s="86"/>
      <c r="H4" s="86"/>
      <c r="I4" t="s">
        <v>106</v>
      </c>
      <c r="J4" t="s">
        <v>106</v>
      </c>
      <c r="L4" s="102" t="s">
        <v>109</v>
      </c>
      <c r="M4" s="102" t="s">
        <v>108</v>
      </c>
      <c r="N4" s="102" t="s">
        <v>107</v>
      </c>
      <c r="O4" s="91" t="s">
        <v>106</v>
      </c>
      <c r="P4" s="91" t="s">
        <v>106</v>
      </c>
      <c r="Q4" s="102"/>
      <c r="R4" s="102"/>
    </row>
    <row r="5" spans="1:18" x14ac:dyDescent="0.25">
      <c r="I5" s="86" t="s">
        <v>106</v>
      </c>
      <c r="J5" s="86" t="s">
        <v>106</v>
      </c>
      <c r="L5" s="86" t="s">
        <v>106</v>
      </c>
      <c r="M5" s="86" t="s">
        <v>106</v>
      </c>
      <c r="N5" s="86" t="s">
        <v>106</v>
      </c>
      <c r="O5" s="86" t="s">
        <v>106</v>
      </c>
      <c r="P5" s="86" t="s">
        <v>106</v>
      </c>
      <c r="Q5" s="86" t="s">
        <v>106</v>
      </c>
      <c r="R5" s="86" t="s">
        <v>106</v>
      </c>
    </row>
    <row r="6" spans="1:18" x14ac:dyDescent="0.25">
      <c r="A6" s="86" t="s">
        <v>77</v>
      </c>
      <c r="B6" s="86"/>
      <c r="C6" s="86"/>
      <c r="I6" t="s">
        <v>77</v>
      </c>
      <c r="J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</row>
    <row r="7" spans="1:18" x14ac:dyDescent="0.25">
      <c r="A7" s="86" t="s">
        <v>24</v>
      </c>
      <c r="B7" s="86"/>
      <c r="C7" s="86"/>
      <c r="D7" s="87">
        <v>102859</v>
      </c>
      <c r="E7" s="87">
        <v>164031</v>
      </c>
      <c r="F7" s="87">
        <v>143568</v>
      </c>
      <c r="G7" s="87"/>
      <c r="H7" s="87"/>
      <c r="I7" t="s">
        <v>24</v>
      </c>
      <c r="J7" t="s">
        <v>106</v>
      </c>
      <c r="L7" s="101">
        <v>27721</v>
      </c>
      <c r="M7" s="101">
        <v>55789</v>
      </c>
      <c r="N7" s="101">
        <v>77916</v>
      </c>
      <c r="O7" t="s">
        <v>106</v>
      </c>
      <c r="P7" t="s">
        <v>106</v>
      </c>
      <c r="Q7" s="101"/>
      <c r="R7" s="101"/>
    </row>
    <row r="8" spans="1:18" x14ac:dyDescent="0.25">
      <c r="A8" s="86" t="s">
        <v>78</v>
      </c>
      <c r="B8" s="86"/>
      <c r="C8" s="86"/>
      <c r="I8" t="s">
        <v>78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</row>
    <row r="9" spans="1:18" x14ac:dyDescent="0.25">
      <c r="A9" s="86" t="s">
        <v>51</v>
      </c>
      <c r="B9" s="86"/>
      <c r="C9" s="86"/>
      <c r="D9" s="88">
        <v>4316</v>
      </c>
      <c r="E9" s="88">
        <v>6812</v>
      </c>
      <c r="F9" s="88">
        <v>10980</v>
      </c>
      <c r="G9" s="88"/>
      <c r="H9" s="88"/>
      <c r="I9" t="s">
        <v>51</v>
      </c>
      <c r="J9" t="s">
        <v>106</v>
      </c>
      <c r="K9" t="s">
        <v>106</v>
      </c>
      <c r="L9" s="94">
        <v>4209</v>
      </c>
      <c r="M9" s="94">
        <v>4435</v>
      </c>
      <c r="N9" s="94">
        <v>4624</v>
      </c>
      <c r="O9" t="s">
        <v>106</v>
      </c>
      <c r="P9" t="s">
        <v>106</v>
      </c>
      <c r="Q9" t="s">
        <v>106</v>
      </c>
      <c r="R9" t="s">
        <v>106</v>
      </c>
    </row>
    <row r="10" spans="1:18" x14ac:dyDescent="0.25">
      <c r="A10" s="86" t="s">
        <v>79</v>
      </c>
      <c r="B10" s="86"/>
      <c r="C10" s="86"/>
      <c r="D10" s="88">
        <v>3189</v>
      </c>
      <c r="E10" s="88">
        <v>5069</v>
      </c>
      <c r="F10" s="88">
        <v>6098</v>
      </c>
      <c r="G10" s="88"/>
      <c r="H10" s="88"/>
      <c r="I10" t="s">
        <v>80</v>
      </c>
      <c r="J10" t="s">
        <v>106</v>
      </c>
      <c r="K10" t="s">
        <v>106</v>
      </c>
      <c r="L10" s="94">
        <v>4267</v>
      </c>
      <c r="M10" s="94">
        <v>3124</v>
      </c>
      <c r="N10" s="94">
        <v>4520</v>
      </c>
      <c r="O10" t="s">
        <v>106</v>
      </c>
      <c r="P10" t="s">
        <v>106</v>
      </c>
      <c r="Q10" t="s">
        <v>106</v>
      </c>
      <c r="R10" t="s">
        <v>106</v>
      </c>
    </row>
    <row r="11" spans="1:18" x14ac:dyDescent="0.25">
      <c r="A11" s="86" t="s">
        <v>80</v>
      </c>
      <c r="B11" s="86"/>
      <c r="C11" s="86"/>
      <c r="D11" s="88">
        <v>6796</v>
      </c>
      <c r="E11" s="88">
        <v>9903</v>
      </c>
      <c r="F11" s="88">
        <v>11053</v>
      </c>
      <c r="G11" s="88"/>
      <c r="H11" s="88"/>
      <c r="I11" t="s">
        <v>113</v>
      </c>
      <c r="J11" t="s">
        <v>106</v>
      </c>
      <c r="K11" t="s">
        <v>106</v>
      </c>
      <c r="L11" s="94">
        <v>94</v>
      </c>
      <c r="M11" s="94">
        <v>48</v>
      </c>
      <c r="N11" s="94">
        <v>17</v>
      </c>
      <c r="O11" t="s">
        <v>106</v>
      </c>
      <c r="P11" t="s">
        <v>106</v>
      </c>
      <c r="Q11" t="s">
        <v>106</v>
      </c>
      <c r="R11" t="s">
        <v>106</v>
      </c>
    </row>
    <row r="12" spans="1:18" x14ac:dyDescent="0.25">
      <c r="A12" s="86" t="s">
        <v>81</v>
      </c>
      <c r="B12" s="86"/>
      <c r="C12" s="86"/>
      <c r="D12" s="88">
        <v>212</v>
      </c>
      <c r="E12" s="88">
        <v>2</v>
      </c>
      <c r="F12" s="88">
        <v>2130</v>
      </c>
      <c r="G12" s="88"/>
      <c r="H12" s="88"/>
      <c r="I12" t="s">
        <v>82</v>
      </c>
      <c r="J12" t="s">
        <v>106</v>
      </c>
      <c r="K12" t="s">
        <v>106</v>
      </c>
      <c r="L12" s="94">
        <v>703</v>
      </c>
      <c r="M12" s="94">
        <v>571</v>
      </c>
      <c r="N12" s="94">
        <v>454</v>
      </c>
      <c r="O12" t="s">
        <v>106</v>
      </c>
      <c r="P12" t="s">
        <v>106</v>
      </c>
      <c r="Q12" t="s">
        <v>106</v>
      </c>
      <c r="R12" t="s">
        <v>106</v>
      </c>
    </row>
    <row r="13" spans="1:18" x14ac:dyDescent="0.25">
      <c r="A13" s="86" t="s">
        <v>82</v>
      </c>
      <c r="B13" s="86"/>
      <c r="C13" s="86"/>
      <c r="D13" s="88">
        <v>320</v>
      </c>
      <c r="E13" s="88">
        <v>89</v>
      </c>
      <c r="F13" s="88">
        <v>14</v>
      </c>
      <c r="G13" s="88"/>
      <c r="H13" s="88"/>
      <c r="I13" t="s">
        <v>53</v>
      </c>
      <c r="J13" t="s">
        <v>106</v>
      </c>
      <c r="K13" t="s">
        <v>106</v>
      </c>
      <c r="L13" s="98">
        <v>-623</v>
      </c>
      <c r="M13" s="98">
        <v>-2687</v>
      </c>
      <c r="N13" s="94">
        <v>1598</v>
      </c>
      <c r="O13" t="s">
        <v>106</v>
      </c>
      <c r="P13" t="s">
        <v>106</v>
      </c>
      <c r="Q13" t="s">
        <v>106</v>
      </c>
      <c r="R13" t="s">
        <v>106</v>
      </c>
    </row>
    <row r="14" spans="1:18" x14ac:dyDescent="0.25">
      <c r="A14" s="86" t="s">
        <v>53</v>
      </c>
      <c r="B14" s="86"/>
      <c r="C14" s="86"/>
      <c r="D14" s="88">
        <v>601</v>
      </c>
      <c r="E14" s="89">
        <v>-3715</v>
      </c>
      <c r="F14" s="89">
        <v>-924</v>
      </c>
      <c r="G14" s="89"/>
      <c r="H14" s="89"/>
      <c r="I14" t="s">
        <v>114</v>
      </c>
      <c r="J14" t="s">
        <v>106</v>
      </c>
      <c r="K14" t="s">
        <v>106</v>
      </c>
      <c r="L14" s="94">
        <v>151</v>
      </c>
      <c r="M14" s="94">
        <v>1058</v>
      </c>
      <c r="N14" s="94">
        <v>3638</v>
      </c>
      <c r="O14" t="s">
        <v>106</v>
      </c>
      <c r="P14" t="s">
        <v>106</v>
      </c>
      <c r="Q14" t="s">
        <v>106</v>
      </c>
      <c r="R14" t="s">
        <v>106</v>
      </c>
    </row>
    <row r="15" spans="1:18" x14ac:dyDescent="0.25">
      <c r="A15" s="86" t="s">
        <v>83</v>
      </c>
      <c r="B15" s="86"/>
      <c r="C15" s="86"/>
      <c r="I15" t="s">
        <v>83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</row>
    <row r="16" spans="1:18" x14ac:dyDescent="0.25">
      <c r="A16" s="86" t="s">
        <v>84</v>
      </c>
      <c r="B16" s="86"/>
      <c r="C16" s="86"/>
      <c r="D16" s="89">
        <v>-4621</v>
      </c>
      <c r="E16" s="89">
        <v>-126651</v>
      </c>
      <c r="F16" s="88">
        <v>61187</v>
      </c>
      <c r="G16" s="88"/>
      <c r="I16" t="s">
        <v>115</v>
      </c>
      <c r="J16" t="s">
        <v>106</v>
      </c>
      <c r="K16" t="s">
        <v>106</v>
      </c>
      <c r="L16" s="94">
        <v>664</v>
      </c>
      <c r="M16" s="98">
        <v>-936</v>
      </c>
      <c r="N16" s="98">
        <v>-4064</v>
      </c>
      <c r="O16" t="s">
        <v>106</v>
      </c>
      <c r="P16" t="s">
        <v>106</v>
      </c>
      <c r="Q16" t="s">
        <v>106</v>
      </c>
      <c r="R16" t="s">
        <v>106</v>
      </c>
    </row>
    <row r="17" spans="1:18" x14ac:dyDescent="0.25">
      <c r="A17" s="86" t="s">
        <v>63</v>
      </c>
      <c r="B17" s="86"/>
      <c r="C17" s="86"/>
      <c r="D17" s="88">
        <v>5169</v>
      </c>
      <c r="E17" s="89">
        <v>-945</v>
      </c>
      <c r="F17" s="88">
        <v>1373</v>
      </c>
      <c r="G17" s="88"/>
      <c r="H17" s="88"/>
      <c r="I17" t="s">
        <v>116</v>
      </c>
      <c r="J17" t="s">
        <v>106</v>
      </c>
      <c r="K17" t="s">
        <v>106</v>
      </c>
      <c r="L17" s="98">
        <v>-1017</v>
      </c>
      <c r="M17" s="98">
        <v>-18658</v>
      </c>
      <c r="N17" s="98">
        <v>-9883</v>
      </c>
      <c r="O17" t="s">
        <v>106</v>
      </c>
      <c r="P17" t="s">
        <v>106</v>
      </c>
      <c r="Q17" t="s">
        <v>106</v>
      </c>
      <c r="R17" t="s">
        <v>106</v>
      </c>
    </row>
    <row r="18" spans="1:18" x14ac:dyDescent="0.25">
      <c r="A18" s="86" t="s">
        <v>85</v>
      </c>
      <c r="B18" s="86"/>
      <c r="C18" s="86"/>
      <c r="D18" s="88">
        <v>1086</v>
      </c>
      <c r="E18" s="89">
        <v>-9887</v>
      </c>
      <c r="F18" s="88">
        <v>97</v>
      </c>
      <c r="G18" s="88"/>
      <c r="H18" s="88"/>
      <c r="I18" t="s">
        <v>117</v>
      </c>
      <c r="J18" t="s">
        <v>106</v>
      </c>
      <c r="K18" t="s">
        <v>106</v>
      </c>
      <c r="L18" s="98">
        <v>-1023</v>
      </c>
      <c r="M18" s="94">
        <v>2272</v>
      </c>
      <c r="N18" s="98">
        <v>-5169</v>
      </c>
      <c r="O18" t="s">
        <v>106</v>
      </c>
      <c r="P18" t="s">
        <v>106</v>
      </c>
      <c r="Q18" t="s">
        <v>106</v>
      </c>
      <c r="R18" t="s">
        <v>106</v>
      </c>
    </row>
    <row r="19" spans="1:18" x14ac:dyDescent="0.25">
      <c r="A19" s="86" t="s">
        <v>86</v>
      </c>
      <c r="B19" s="86"/>
      <c r="C19" s="86"/>
      <c r="D19" s="89">
        <v>-2741</v>
      </c>
      <c r="E19" s="89">
        <v>-4543</v>
      </c>
      <c r="F19" s="89">
        <v>-3412</v>
      </c>
      <c r="G19" s="89"/>
      <c r="H19" s="89"/>
      <c r="I19" t="s">
        <v>85</v>
      </c>
      <c r="J19" t="s">
        <v>106</v>
      </c>
      <c r="K19" t="s">
        <v>106</v>
      </c>
      <c r="L19" s="98">
        <v>-686</v>
      </c>
      <c r="M19" s="98">
        <v>-282</v>
      </c>
      <c r="N19" s="98">
        <v>-1510</v>
      </c>
      <c r="O19" t="s">
        <v>106</v>
      </c>
      <c r="P19" t="s">
        <v>106</v>
      </c>
      <c r="Q19" t="s">
        <v>106</v>
      </c>
      <c r="R19" t="s">
        <v>106</v>
      </c>
    </row>
    <row r="20" spans="1:18" x14ac:dyDescent="0.25">
      <c r="A20" s="86" t="s">
        <v>87</v>
      </c>
      <c r="B20" s="86"/>
      <c r="C20" s="86"/>
      <c r="D20" s="88">
        <v>28010</v>
      </c>
      <c r="E20" s="88">
        <v>54380</v>
      </c>
      <c r="F20" s="89">
        <v>-37594</v>
      </c>
      <c r="G20" s="89"/>
      <c r="H20" s="89"/>
      <c r="I20" t="s">
        <v>86</v>
      </c>
      <c r="J20" t="s">
        <v>106</v>
      </c>
      <c r="K20" t="s">
        <v>106</v>
      </c>
      <c r="L20" s="98">
        <v>-1876</v>
      </c>
      <c r="M20" s="94">
        <v>65</v>
      </c>
      <c r="N20" s="94">
        <v>9</v>
      </c>
      <c r="O20" t="s">
        <v>106</v>
      </c>
      <c r="P20" t="s">
        <v>106</v>
      </c>
      <c r="Q20" t="s">
        <v>106</v>
      </c>
      <c r="R20" t="s">
        <v>106</v>
      </c>
    </row>
    <row r="21" spans="1:18" x14ac:dyDescent="0.25">
      <c r="A21" s="86" t="s">
        <v>88</v>
      </c>
      <c r="B21" s="86"/>
      <c r="C21" s="86"/>
      <c r="D21" s="88">
        <v>145196</v>
      </c>
      <c r="E21" s="88">
        <v>94545</v>
      </c>
      <c r="F21" s="88">
        <v>194570</v>
      </c>
      <c r="G21" s="88"/>
      <c r="H21" s="88"/>
      <c r="I21" t="s">
        <v>87</v>
      </c>
      <c r="J21" t="s">
        <v>106</v>
      </c>
      <c r="K21" s="86" t="s">
        <v>106</v>
      </c>
      <c r="L21" s="94">
        <v>10653</v>
      </c>
      <c r="M21" s="94">
        <v>16017</v>
      </c>
      <c r="N21" s="94">
        <v>12111</v>
      </c>
      <c r="O21" s="86" t="s">
        <v>106</v>
      </c>
      <c r="P21" s="86" t="s">
        <v>106</v>
      </c>
      <c r="Q21" t="s">
        <v>106</v>
      </c>
      <c r="R21" t="s">
        <v>106</v>
      </c>
    </row>
    <row r="22" spans="1:18" x14ac:dyDescent="0.25">
      <c r="I22" s="86" t="s">
        <v>88</v>
      </c>
      <c r="J22" s="86" t="s">
        <v>106</v>
      </c>
      <c r="K22" s="86" t="s">
        <v>106</v>
      </c>
      <c r="L22" s="95">
        <v>43237</v>
      </c>
      <c r="M22" s="95">
        <v>60816</v>
      </c>
      <c r="N22" s="95">
        <v>84261</v>
      </c>
      <c r="O22" s="86" t="s">
        <v>106</v>
      </c>
      <c r="P22" s="86" t="s">
        <v>106</v>
      </c>
      <c r="Q22" s="86" t="s">
        <v>106</v>
      </c>
      <c r="R22" s="86" t="s">
        <v>106</v>
      </c>
    </row>
    <row r="23" spans="1:18" x14ac:dyDescent="0.25">
      <c r="A23" s="86" t="s">
        <v>89</v>
      </c>
      <c r="B23" s="86"/>
      <c r="C23" s="86"/>
      <c r="I23" s="86" t="s">
        <v>106</v>
      </c>
      <c r="J23" s="86" t="s">
        <v>106</v>
      </c>
      <c r="K23" s="86" t="s">
        <v>106</v>
      </c>
      <c r="L23" s="86" t="s">
        <v>106</v>
      </c>
      <c r="M23" s="86" t="s">
        <v>106</v>
      </c>
      <c r="N23" s="86" t="s">
        <v>106</v>
      </c>
      <c r="O23" s="86" t="s">
        <v>106</v>
      </c>
      <c r="P23" s="86" t="s">
        <v>106</v>
      </c>
      <c r="Q23" s="86" t="s">
        <v>106</v>
      </c>
      <c r="R23" s="86" t="s">
        <v>106</v>
      </c>
    </row>
    <row r="24" spans="1:18" x14ac:dyDescent="0.25">
      <c r="A24" s="86" t="s">
        <v>90</v>
      </c>
      <c r="B24" s="86"/>
      <c r="C24" s="86"/>
      <c r="D24" s="88">
        <v>4605</v>
      </c>
      <c r="E24" s="88">
        <v>5145</v>
      </c>
      <c r="F24" s="88">
        <v>5267</v>
      </c>
      <c r="G24" s="88"/>
      <c r="H24" s="88"/>
      <c r="I24" t="s">
        <v>89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</row>
    <row r="25" spans="1:18" x14ac:dyDescent="0.25">
      <c r="A25" s="86" t="s">
        <v>91</v>
      </c>
      <c r="B25" s="86"/>
      <c r="C25" s="86"/>
      <c r="D25" s="89">
        <v>-5887</v>
      </c>
      <c r="E25" s="89">
        <v>-34209</v>
      </c>
      <c r="F25" s="89">
        <v>-16681</v>
      </c>
      <c r="G25" s="89"/>
      <c r="I25" t="s">
        <v>90</v>
      </c>
      <c r="J25" t="s">
        <v>106</v>
      </c>
      <c r="K25" t="s">
        <v>106</v>
      </c>
      <c r="L25" s="94">
        <v>6954</v>
      </c>
      <c r="M25" s="94">
        <v>3545</v>
      </c>
      <c r="N25" s="94">
        <v>3730</v>
      </c>
      <c r="O25" t="s">
        <v>106</v>
      </c>
      <c r="P25" t="s">
        <v>106</v>
      </c>
      <c r="Q25" t="s">
        <v>106</v>
      </c>
      <c r="R25" t="s">
        <v>106</v>
      </c>
    </row>
    <row r="26" spans="1:18" x14ac:dyDescent="0.25">
      <c r="A26" s="86" t="s">
        <v>92</v>
      </c>
      <c r="B26" s="86"/>
      <c r="C26" s="86"/>
      <c r="D26" s="89">
        <v>-1282</v>
      </c>
      <c r="E26" s="89">
        <v>-29064</v>
      </c>
      <c r="F26" s="89">
        <v>-11414</v>
      </c>
      <c r="G26" s="89"/>
      <c r="I26" t="s">
        <v>118</v>
      </c>
      <c r="J26" t="s">
        <v>106</v>
      </c>
      <c r="K26" t="s">
        <v>106</v>
      </c>
      <c r="L26" s="98">
        <v>-6956</v>
      </c>
      <c r="M26" s="99" t="s">
        <v>119</v>
      </c>
      <c r="N26" s="99" t="s">
        <v>119</v>
      </c>
      <c r="O26" t="s">
        <v>106</v>
      </c>
      <c r="P26" t="s">
        <v>106</v>
      </c>
      <c r="Q26" t="s">
        <v>106</v>
      </c>
      <c r="R26" t="s">
        <v>106</v>
      </c>
    </row>
    <row r="27" spans="1:18" x14ac:dyDescent="0.25">
      <c r="I27" t="s">
        <v>120</v>
      </c>
      <c r="J27" t="s">
        <v>106</v>
      </c>
      <c r="K27" t="s">
        <v>106</v>
      </c>
      <c r="L27" s="94">
        <v>81</v>
      </c>
      <c r="M27" s="94">
        <v>196</v>
      </c>
      <c r="N27" s="99" t="s">
        <v>119</v>
      </c>
      <c r="O27" t="s">
        <v>106</v>
      </c>
      <c r="P27" t="s">
        <v>106</v>
      </c>
      <c r="Q27" t="s">
        <v>106</v>
      </c>
      <c r="R27" t="s">
        <v>106</v>
      </c>
    </row>
    <row r="28" spans="1:18" x14ac:dyDescent="0.25">
      <c r="A28" s="86" t="s">
        <v>93</v>
      </c>
      <c r="B28" s="86"/>
      <c r="C28" s="86"/>
      <c r="I28" t="s">
        <v>91</v>
      </c>
      <c r="J28" t="s">
        <v>106</v>
      </c>
      <c r="K28" t="s">
        <v>106</v>
      </c>
      <c r="L28" s="98">
        <v>-3242</v>
      </c>
      <c r="M28" s="98">
        <v>-4940</v>
      </c>
      <c r="N28" s="98">
        <v>-10058</v>
      </c>
      <c r="O28" t="s">
        <v>106</v>
      </c>
      <c r="P28" t="s">
        <v>106</v>
      </c>
      <c r="Q28" t="s">
        <v>106</v>
      </c>
      <c r="R28" t="s">
        <v>106</v>
      </c>
    </row>
    <row r="29" spans="1:18" x14ac:dyDescent="0.25">
      <c r="A29" s="86" t="s">
        <v>94</v>
      </c>
      <c r="B29" s="86"/>
      <c r="C29" s="86"/>
      <c r="D29" s="88">
        <v>1597</v>
      </c>
      <c r="E29" s="88">
        <v>811</v>
      </c>
      <c r="F29" s="86" t="s">
        <v>59</v>
      </c>
      <c r="G29" s="86"/>
      <c r="H29" s="86"/>
      <c r="I29" s="86" t="s">
        <v>92</v>
      </c>
      <c r="J29" s="86" t="s">
        <v>106</v>
      </c>
      <c r="K29" s="86" t="s">
        <v>106</v>
      </c>
      <c r="L29" s="100">
        <v>-3163</v>
      </c>
      <c r="M29" s="100">
        <v>-1199</v>
      </c>
      <c r="N29" s="100">
        <v>-6328</v>
      </c>
      <c r="O29" s="86" t="s">
        <v>106</v>
      </c>
      <c r="P29" s="86" t="s">
        <v>106</v>
      </c>
      <c r="Q29" s="86" t="s">
        <v>106</v>
      </c>
      <c r="R29" s="86" t="s">
        <v>106</v>
      </c>
    </row>
    <row r="30" spans="1:18" x14ac:dyDescent="0.25">
      <c r="A30" s="86" t="s">
        <v>95</v>
      </c>
      <c r="B30" s="86"/>
      <c r="C30" s="86"/>
      <c r="D30" s="89">
        <v>-551</v>
      </c>
      <c r="E30" s="89">
        <v>-6089</v>
      </c>
      <c r="F30" s="89">
        <v>-1516</v>
      </c>
      <c r="G30" s="89"/>
      <c r="I30" s="86" t="s">
        <v>106</v>
      </c>
      <c r="J30" s="86" t="s">
        <v>106</v>
      </c>
      <c r="K30" s="86" t="s">
        <v>106</v>
      </c>
      <c r="L30" s="86" t="s">
        <v>106</v>
      </c>
      <c r="M30" s="86" t="s">
        <v>106</v>
      </c>
      <c r="N30" s="86" t="s">
        <v>106</v>
      </c>
      <c r="O30" s="86" t="s">
        <v>106</v>
      </c>
      <c r="P30" s="86" t="s">
        <v>106</v>
      </c>
      <c r="Q30" s="86" t="s">
        <v>106</v>
      </c>
      <c r="R30" s="86" t="s">
        <v>106</v>
      </c>
    </row>
    <row r="31" spans="1:18" x14ac:dyDescent="0.25">
      <c r="A31" s="86" t="s">
        <v>96</v>
      </c>
      <c r="B31" s="86"/>
      <c r="C31" s="86"/>
      <c r="D31" s="89">
        <v>-53190</v>
      </c>
      <c r="E31" s="89">
        <v>-63856</v>
      </c>
      <c r="F31" s="89">
        <v>-71620</v>
      </c>
      <c r="G31" s="89"/>
      <c r="I31" t="s">
        <v>93</v>
      </c>
      <c r="J31" t="s">
        <v>106</v>
      </c>
      <c r="K31" t="s">
        <v>106</v>
      </c>
      <c r="L31" t="s">
        <v>106</v>
      </c>
      <c r="M31" t="s">
        <v>106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</row>
    <row r="32" spans="1:18" x14ac:dyDescent="0.25">
      <c r="A32" s="86" t="s">
        <v>97</v>
      </c>
      <c r="B32" s="86"/>
      <c r="C32" s="86"/>
      <c r="D32" s="89">
        <v>-5000</v>
      </c>
      <c r="E32" s="89">
        <v>-55999</v>
      </c>
      <c r="F32" s="89">
        <v>-126445</v>
      </c>
      <c r="G32" s="89"/>
      <c r="I32" t="s">
        <v>94</v>
      </c>
      <c r="J32" t="s">
        <v>106</v>
      </c>
      <c r="K32" t="s">
        <v>106</v>
      </c>
      <c r="L32" s="94">
        <v>568</v>
      </c>
      <c r="M32" s="94">
        <v>547</v>
      </c>
      <c r="N32" s="94">
        <v>278</v>
      </c>
      <c r="O32" t="s">
        <v>106</v>
      </c>
      <c r="P32" t="s">
        <v>106</v>
      </c>
      <c r="Q32" t="s">
        <v>106</v>
      </c>
      <c r="R32" t="s">
        <v>106</v>
      </c>
    </row>
    <row r="33" spans="1:18" x14ac:dyDescent="0.25">
      <c r="A33" s="86" t="s">
        <v>98</v>
      </c>
      <c r="B33" s="86"/>
      <c r="C33" s="86"/>
      <c r="D33" s="89">
        <v>-57144</v>
      </c>
      <c r="E33" s="89">
        <v>-125133</v>
      </c>
      <c r="F33" s="89">
        <v>-199581</v>
      </c>
      <c r="G33" s="89"/>
      <c r="I33" t="s">
        <v>121</v>
      </c>
      <c r="J33" t="s">
        <v>106</v>
      </c>
      <c r="K33" t="s">
        <v>106</v>
      </c>
      <c r="L33" s="98">
        <v>-2540</v>
      </c>
      <c r="M33" s="98">
        <v>-720</v>
      </c>
      <c r="N33" s="98">
        <v>-14092</v>
      </c>
      <c r="O33" t="s">
        <v>106</v>
      </c>
      <c r="P33" t="s">
        <v>106</v>
      </c>
      <c r="Q33" t="s">
        <v>106</v>
      </c>
      <c r="R33" t="s">
        <v>106</v>
      </c>
    </row>
    <row r="34" spans="1:18" x14ac:dyDescent="0.25">
      <c r="I34" t="s">
        <v>96</v>
      </c>
      <c r="J34" t="s">
        <v>106</v>
      </c>
      <c r="K34" t="s">
        <v>106</v>
      </c>
      <c r="L34" s="98">
        <v>-15390</v>
      </c>
      <c r="M34" s="98">
        <v>-23160</v>
      </c>
      <c r="N34" s="98">
        <v>-35396</v>
      </c>
      <c r="O34" t="s">
        <v>106</v>
      </c>
      <c r="P34" t="s">
        <v>106</v>
      </c>
      <c r="Q34" t="s">
        <v>106</v>
      </c>
      <c r="R34" t="s">
        <v>106</v>
      </c>
    </row>
    <row r="35" spans="1:18" x14ac:dyDescent="0.25">
      <c r="A35" s="86" t="s">
        <v>99</v>
      </c>
      <c r="B35" s="86"/>
      <c r="C35" s="86"/>
      <c r="D35" s="89">
        <v>-21</v>
      </c>
      <c r="E35" s="88">
        <v>112</v>
      </c>
      <c r="F35" s="89">
        <v>-67</v>
      </c>
      <c r="G35" s="89"/>
      <c r="I35" t="s">
        <v>97</v>
      </c>
      <c r="J35" t="s">
        <v>106</v>
      </c>
      <c r="K35" t="s">
        <v>106</v>
      </c>
      <c r="L35" s="99" t="s">
        <v>119</v>
      </c>
      <c r="M35" s="98">
        <v>-29995</v>
      </c>
      <c r="N35" s="98">
        <v>-33114</v>
      </c>
      <c r="O35" t="s">
        <v>106</v>
      </c>
      <c r="P35" t="s">
        <v>106</v>
      </c>
      <c r="Q35" t="s">
        <v>106</v>
      </c>
      <c r="R35" t="s">
        <v>106</v>
      </c>
    </row>
    <row r="36" spans="1:18" x14ac:dyDescent="0.25">
      <c r="I36" s="86" t="s">
        <v>98</v>
      </c>
      <c r="J36" s="86" t="s">
        <v>106</v>
      </c>
      <c r="K36" s="86" t="s">
        <v>106</v>
      </c>
      <c r="L36" s="100">
        <v>-17362</v>
      </c>
      <c r="M36" s="100">
        <v>-53328</v>
      </c>
      <c r="N36" s="100">
        <v>-82324</v>
      </c>
      <c r="O36" s="86" t="s">
        <v>106</v>
      </c>
      <c r="P36" s="86" t="s">
        <v>106</v>
      </c>
      <c r="Q36" s="86" t="s">
        <v>106</v>
      </c>
      <c r="R36" s="86" t="s">
        <v>106</v>
      </c>
    </row>
    <row r="37" spans="1:18" x14ac:dyDescent="0.25">
      <c r="A37" s="86" t="s">
        <v>100</v>
      </c>
      <c r="B37" s="86"/>
      <c r="C37" s="86"/>
      <c r="D37" s="88">
        <v>86749</v>
      </c>
      <c r="E37" s="89">
        <v>-59540</v>
      </c>
      <c r="F37" s="89">
        <v>-16492</v>
      </c>
      <c r="G37" s="89"/>
      <c r="H37" s="89"/>
      <c r="I37" s="86" t="s">
        <v>106</v>
      </c>
      <c r="J37" s="86" t="s">
        <v>106</v>
      </c>
      <c r="K37" s="86" t="s">
        <v>106</v>
      </c>
      <c r="L37" s="86" t="s">
        <v>106</v>
      </c>
      <c r="M37" s="86" t="s">
        <v>106</v>
      </c>
      <c r="N37" s="86" t="s">
        <v>106</v>
      </c>
      <c r="O37" s="86" t="s">
        <v>106</v>
      </c>
      <c r="P37" s="86" t="s">
        <v>106</v>
      </c>
      <c r="Q37" s="86" t="s">
        <v>106</v>
      </c>
      <c r="R37" s="86" t="s">
        <v>106</v>
      </c>
    </row>
    <row r="38" spans="1:18" x14ac:dyDescent="0.25">
      <c r="A38" s="86" t="s">
        <v>101</v>
      </c>
      <c r="B38" s="86"/>
      <c r="C38" s="86"/>
      <c r="D38" s="88">
        <v>76974</v>
      </c>
      <c r="E38" s="88">
        <v>163723</v>
      </c>
      <c r="F38" s="88">
        <v>104183</v>
      </c>
      <c r="G38" s="88"/>
      <c r="H38" s="88"/>
      <c r="I38" t="s">
        <v>99</v>
      </c>
      <c r="J38" t="s">
        <v>106</v>
      </c>
      <c r="K38" t="s">
        <v>106</v>
      </c>
      <c r="L38" s="98">
        <v>-71</v>
      </c>
      <c r="M38" s="98">
        <v>-2</v>
      </c>
      <c r="N38" s="94">
        <v>1</v>
      </c>
      <c r="O38" t="s">
        <v>106</v>
      </c>
      <c r="P38" t="s">
        <v>106</v>
      </c>
      <c r="Q38" t="s">
        <v>106</v>
      </c>
      <c r="R38" t="s">
        <v>106</v>
      </c>
    </row>
    <row r="39" spans="1:18" x14ac:dyDescent="0.25">
      <c r="A39" s="86" t="s">
        <v>102</v>
      </c>
      <c r="B39" s="86"/>
      <c r="C39" s="86"/>
      <c r="D39" s="87">
        <v>163723</v>
      </c>
      <c r="E39" s="87">
        <v>104183</v>
      </c>
      <c r="F39" s="87">
        <v>87691</v>
      </c>
      <c r="G39" s="87"/>
      <c r="H39" s="87"/>
      <c r="I39" s="86" t="s">
        <v>106</v>
      </c>
      <c r="J39" s="86" t="s">
        <v>106</v>
      </c>
      <c r="K39" s="86" t="s">
        <v>106</v>
      </c>
      <c r="L39" s="86" t="s">
        <v>106</v>
      </c>
      <c r="M39" s="86" t="s">
        <v>106</v>
      </c>
      <c r="N39" s="86" t="s">
        <v>106</v>
      </c>
      <c r="O39" s="86" t="s">
        <v>106</v>
      </c>
      <c r="P39" s="86" t="s">
        <v>106</v>
      </c>
      <c r="Q39" s="86" t="s">
        <v>106</v>
      </c>
      <c r="R39" s="86" t="s">
        <v>106</v>
      </c>
    </row>
    <row r="40" spans="1:18" x14ac:dyDescent="0.25">
      <c r="I40" s="86" t="s">
        <v>122</v>
      </c>
      <c r="J40" s="86" t="s">
        <v>106</v>
      </c>
      <c r="K40" s="86" t="s">
        <v>106</v>
      </c>
      <c r="L40" s="95">
        <v>22641</v>
      </c>
      <c r="M40" s="95">
        <v>6287</v>
      </c>
      <c r="N40" s="100">
        <v>-4390</v>
      </c>
      <c r="O40" s="86" t="s">
        <v>106</v>
      </c>
      <c r="P40" s="86" t="s">
        <v>106</v>
      </c>
      <c r="Q40" s="86" t="s">
        <v>106</v>
      </c>
      <c r="R40" t="s">
        <v>106</v>
      </c>
    </row>
    <row r="41" spans="1:18" x14ac:dyDescent="0.25">
      <c r="A41" s="86" t="s">
        <v>103</v>
      </c>
      <c r="B41" s="86"/>
      <c r="C41" s="86"/>
      <c r="I41" t="s">
        <v>101</v>
      </c>
      <c r="J41" t="s">
        <v>106</v>
      </c>
      <c r="K41" t="s">
        <v>106</v>
      </c>
      <c r="L41" s="94">
        <v>52436</v>
      </c>
      <c r="M41" s="94">
        <v>75077</v>
      </c>
      <c r="N41" s="94">
        <v>81364</v>
      </c>
      <c r="O41" t="s">
        <v>106</v>
      </c>
      <c r="P41" t="s">
        <v>106</v>
      </c>
      <c r="Q41" t="s">
        <v>106</v>
      </c>
      <c r="R41" t="s">
        <v>106</v>
      </c>
    </row>
    <row r="42" spans="1:18" x14ac:dyDescent="0.25">
      <c r="A42" s="86" t="s">
        <v>104</v>
      </c>
      <c r="B42" s="86"/>
      <c r="C42" s="86"/>
      <c r="D42" s="87">
        <v>24636</v>
      </c>
      <c r="E42" s="87">
        <v>56758</v>
      </c>
      <c r="F42" s="87">
        <v>37212</v>
      </c>
      <c r="G42" s="87"/>
      <c r="H42" s="87"/>
      <c r="I42" t="s">
        <v>102</v>
      </c>
      <c r="J42" t="s">
        <v>106</v>
      </c>
      <c r="L42" s="101">
        <v>75077</v>
      </c>
      <c r="M42" s="101">
        <v>81364</v>
      </c>
      <c r="N42" s="101">
        <v>76974</v>
      </c>
      <c r="O42" t="s">
        <v>106</v>
      </c>
      <c r="P42" t="s">
        <v>106</v>
      </c>
      <c r="Q42" s="101"/>
      <c r="R42" s="101"/>
    </row>
    <row r="43" spans="1:18" x14ac:dyDescent="0.25">
      <c r="A43" s="86" t="s">
        <v>105</v>
      </c>
      <c r="B43" s="86"/>
      <c r="C43" s="86"/>
      <c r="D43" s="87">
        <v>13831</v>
      </c>
      <c r="E43" s="87">
        <v>17186</v>
      </c>
      <c r="F43" s="87">
        <v>19641</v>
      </c>
      <c r="G43" s="87"/>
      <c r="H43" s="87"/>
      <c r="I43" s="86" t="s">
        <v>106</v>
      </c>
      <c r="J43" s="86" t="s">
        <v>106</v>
      </c>
      <c r="L43" s="86" t="s">
        <v>106</v>
      </c>
      <c r="M43" s="86" t="s">
        <v>106</v>
      </c>
      <c r="N43" s="86" t="s">
        <v>106</v>
      </c>
      <c r="O43" s="86" t="s">
        <v>106</v>
      </c>
      <c r="P43" s="86" t="s">
        <v>106</v>
      </c>
      <c r="Q43" s="86" t="s">
        <v>106</v>
      </c>
      <c r="R43" s="86" t="s">
        <v>106</v>
      </c>
    </row>
    <row r="44" spans="1:18" x14ac:dyDescent="0.25">
      <c r="E44" s="84"/>
      <c r="I44" t="s">
        <v>123</v>
      </c>
      <c r="J44" t="s">
        <v>106</v>
      </c>
      <c r="L44" t="s">
        <v>106</v>
      </c>
      <c r="M44" t="s">
        <v>106</v>
      </c>
      <c r="N44" t="s">
        <v>106</v>
      </c>
      <c r="O44" t="s">
        <v>106</v>
      </c>
      <c r="P44" t="s">
        <v>106</v>
      </c>
      <c r="Q44" t="s">
        <v>106</v>
      </c>
      <c r="R44" t="s">
        <v>106</v>
      </c>
    </row>
    <row r="45" spans="1:18" x14ac:dyDescent="0.25">
      <c r="E45" s="81"/>
      <c r="I45" t="s">
        <v>104</v>
      </c>
      <c r="J45" t="s">
        <v>106</v>
      </c>
      <c r="L45" s="101">
        <v>13622</v>
      </c>
      <c r="M45" s="101">
        <v>14606</v>
      </c>
      <c r="N45" s="101">
        <v>17314</v>
      </c>
      <c r="O45" t="s">
        <v>106</v>
      </c>
      <c r="P45" t="s">
        <v>106</v>
      </c>
      <c r="Q45" s="101"/>
      <c r="R45" s="101"/>
    </row>
    <row r="46" spans="1:18" x14ac:dyDescent="0.25">
      <c r="E46" s="81"/>
      <c r="I46" t="s">
        <v>105</v>
      </c>
      <c r="J46" t="s">
        <v>106</v>
      </c>
      <c r="L46" s="101">
        <v>6105</v>
      </c>
      <c r="M46" s="101">
        <v>9137</v>
      </c>
      <c r="N46" s="101">
        <v>13719</v>
      </c>
      <c r="O46" t="s">
        <v>106</v>
      </c>
      <c r="P46" t="s">
        <v>106</v>
      </c>
      <c r="Q46" s="101"/>
      <c r="R46" s="101"/>
    </row>
    <row r="47" spans="1:18" x14ac:dyDescent="0.25">
      <c r="E47" s="81"/>
    </row>
    <row r="49" spans="5:5" x14ac:dyDescent="0.25">
      <c r="E49" s="84"/>
    </row>
    <row r="50" spans="5:5" x14ac:dyDescent="0.25">
      <c r="E50" s="84"/>
    </row>
    <row r="52" spans="5:5" x14ac:dyDescent="0.25">
      <c r="E52" s="81"/>
    </row>
    <row r="53" spans="5:5" x14ac:dyDescent="0.25">
      <c r="E53" s="83"/>
    </row>
  </sheetData>
  <sortState xmlns:xlrd2="http://schemas.microsoft.com/office/spreadsheetml/2017/richdata2" columnSort="1" ref="L4:R46">
    <sortCondition ref="L4:R4"/>
  </sortState>
  <mergeCells count="1">
    <mergeCell ref="I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H14" sqref="H14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2" x14ac:dyDescent="0.25">
      <c r="A4" s="42" t="s">
        <v>40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3">
        <f>'MED DCF'!M37</f>
        <v>0.25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3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4">
        <v>1.26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'MED DCF'!D63</f>
        <v>1065747.32277</v>
      </c>
      <c r="D12" s="2"/>
      <c r="E12" s="2" t="s">
        <v>33</v>
      </c>
      <c r="F12" s="2"/>
      <c r="G12" s="23">
        <f>'MED DCF'!D60</f>
        <v>131742</v>
      </c>
      <c r="H12" s="2"/>
      <c r="I12" s="2" t="s">
        <v>45</v>
      </c>
      <c r="J12" s="2"/>
      <c r="K12" s="23">
        <f>G12+C12</f>
        <v>1197489.32277</v>
      </c>
      <c r="L12" s="2"/>
    </row>
    <row r="13" spans="1:12" x14ac:dyDescent="0.25">
      <c r="A13" s="2" t="s">
        <v>46</v>
      </c>
      <c r="B13" s="2"/>
      <c r="C13" s="45">
        <f>C12/K12</f>
        <v>0.88998482283311053</v>
      </c>
      <c r="D13" s="2"/>
      <c r="E13" s="2" t="s">
        <v>47</v>
      </c>
      <c r="F13" s="2"/>
      <c r="G13" s="46">
        <f>G12/K12</f>
        <v>0.11001517716688944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7">
        <f>D7+D8*(D9)</f>
        <v>0.11260000000000001</v>
      </c>
      <c r="D14" s="2"/>
      <c r="E14" s="2" t="s">
        <v>49</v>
      </c>
      <c r="F14" s="2"/>
      <c r="G14" s="46">
        <v>0.05</v>
      </c>
      <c r="H14" s="2"/>
      <c r="I14" s="48" t="s">
        <v>1</v>
      </c>
      <c r="J14" s="49"/>
      <c r="K14" s="50">
        <f>C13*C14+G14*G13*(1-D6)</f>
        <v>0.1043378601947666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2023-07-25T10:26:15Z</dcterms:modified>
</cp:coreProperties>
</file>