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95EBB787-8438-4574-A70B-DCBEE506001C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QCOM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1" l="1"/>
  <c r="L64" i="1"/>
  <c r="L63" i="1" s="1"/>
  <c r="L67" i="1"/>
  <c r="D64" i="1"/>
  <c r="D63" i="1"/>
  <c r="J47" i="1"/>
  <c r="K47" i="1"/>
  <c r="L47" i="1"/>
  <c r="M47" i="1"/>
  <c r="I47" i="1"/>
  <c r="J44" i="1"/>
  <c r="K44" i="1"/>
  <c r="L44" i="1"/>
  <c r="M44" i="1"/>
  <c r="I44" i="1"/>
  <c r="O20" i="1"/>
  <c r="P20" i="1"/>
  <c r="Q20" i="1" s="1"/>
  <c r="R20" i="1" s="1"/>
  <c r="J32" i="1"/>
  <c r="K32" i="1"/>
  <c r="L32" i="1"/>
  <c r="M32" i="1"/>
  <c r="I32" i="1"/>
  <c r="D33" i="1"/>
  <c r="E33" i="1"/>
  <c r="F33" i="1"/>
  <c r="G33" i="1"/>
  <c r="H33" i="1"/>
  <c r="C33" i="1"/>
  <c r="I11" i="1"/>
  <c r="J11" i="1" s="1"/>
  <c r="K11" i="1" s="1"/>
  <c r="L11" i="1" s="1"/>
  <c r="M11" i="1" s="1"/>
  <c r="N11" i="1" s="1"/>
  <c r="O11" i="1" s="1"/>
  <c r="P11" i="1" s="1"/>
  <c r="Q11" i="1" s="1"/>
  <c r="R11" i="1" s="1"/>
  <c r="R32" i="1" s="1"/>
  <c r="C28" i="1"/>
  <c r="D28" i="1"/>
  <c r="E28" i="1"/>
  <c r="F28" i="1"/>
  <c r="G28" i="1"/>
  <c r="H28" i="1"/>
  <c r="K23" i="1"/>
  <c r="N23" i="1" s="1"/>
  <c r="O23" i="1" s="1"/>
  <c r="P23" i="1" s="1"/>
  <c r="Q23" i="1" s="1"/>
  <c r="R23" i="1" s="1"/>
  <c r="N20" i="1"/>
  <c r="D67" i="1"/>
  <c r="C12" i="2" s="1"/>
  <c r="H29" i="1"/>
  <c r="G12" i="2"/>
  <c r="Q32" i="1" l="1"/>
  <c r="R47" i="1"/>
  <c r="N47" i="1"/>
  <c r="O32" i="1"/>
  <c r="P47" i="1"/>
  <c r="P32" i="1"/>
  <c r="N32" i="1"/>
  <c r="Q47" i="1"/>
  <c r="O47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F48" i="1"/>
  <c r="G48" i="1"/>
  <c r="H48" i="1"/>
  <c r="E48" i="1"/>
  <c r="D48" i="1"/>
  <c r="C48" i="1"/>
  <c r="D45" i="1"/>
  <c r="C45" i="1"/>
  <c r="F45" i="1"/>
  <c r="H45" i="1"/>
  <c r="F29" i="1"/>
  <c r="D29" i="1"/>
  <c r="G51" i="1"/>
  <c r="H51" i="1"/>
  <c r="G45" i="1"/>
  <c r="G16" i="1"/>
  <c r="F16" i="1"/>
  <c r="H16" i="1"/>
  <c r="H31" i="1" s="1"/>
  <c r="H35" i="1" s="1"/>
  <c r="H55" i="1" s="1"/>
  <c r="E51" i="1"/>
  <c r="D51" i="1"/>
  <c r="C51" i="1"/>
  <c r="E45" i="1"/>
  <c r="D43" i="1"/>
  <c r="E43" i="1" s="1"/>
  <c r="E16" i="1"/>
  <c r="D16" i="1"/>
  <c r="C16" i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C31" i="1" l="1"/>
  <c r="E31" i="1"/>
  <c r="G31" i="1"/>
  <c r="G35" i="1" s="1"/>
  <c r="G55" i="1" s="1"/>
  <c r="D31" i="1"/>
  <c r="F31" i="1"/>
  <c r="F35" i="1" s="1"/>
  <c r="F55" i="1" s="1"/>
  <c r="H37" i="1"/>
  <c r="E17" i="1"/>
  <c r="G17" i="1"/>
  <c r="F37" i="1"/>
  <c r="F53" i="1" s="1"/>
  <c r="F57" i="1" s="1"/>
  <c r="I25" i="1"/>
  <c r="I19" i="1"/>
  <c r="I22" i="1"/>
  <c r="C17" i="1"/>
  <c r="I50" i="1"/>
  <c r="F51" i="1"/>
  <c r="K12" i="2"/>
  <c r="I16" i="1"/>
  <c r="D17" i="1"/>
  <c r="H17" i="1"/>
  <c r="F17" i="1"/>
  <c r="C29" i="1"/>
  <c r="E29" i="1"/>
  <c r="G29" i="1"/>
  <c r="I28" i="1" l="1"/>
  <c r="I31" i="1" s="1"/>
  <c r="I35" i="1" s="1"/>
  <c r="H53" i="1"/>
  <c r="H57" i="1" s="1"/>
  <c r="D35" i="1"/>
  <c r="D55" i="1" s="1"/>
  <c r="E35" i="1"/>
  <c r="E55" i="1" s="1"/>
  <c r="C35" i="1"/>
  <c r="C55" i="1" s="1"/>
  <c r="F41" i="1"/>
  <c r="D37" i="1"/>
  <c r="D53" i="1" s="1"/>
  <c r="D57" i="1" s="1"/>
  <c r="K25" i="1"/>
  <c r="J25" i="1"/>
  <c r="J22" i="1"/>
  <c r="J19" i="1"/>
  <c r="I14" i="1"/>
  <c r="C13" i="2"/>
  <c r="G13" i="2"/>
  <c r="G37" i="1"/>
  <c r="G53" i="1" s="1"/>
  <c r="G57" i="1" s="1"/>
  <c r="E37" i="1"/>
  <c r="C37" i="1"/>
  <c r="J50" i="1"/>
  <c r="J16" i="1"/>
  <c r="J28" i="1" l="1"/>
  <c r="J31" i="1" s="1"/>
  <c r="J35" i="1" s="1"/>
  <c r="I29" i="1"/>
  <c r="C41" i="1"/>
  <c r="C53" i="1"/>
  <c r="C57" i="1" s="1"/>
  <c r="E41" i="1"/>
  <c r="E53" i="1"/>
  <c r="E57" i="1" s="1"/>
  <c r="I37" i="1"/>
  <c r="H41" i="1"/>
  <c r="D41" i="1"/>
  <c r="G41" i="1"/>
  <c r="K19" i="1"/>
  <c r="K22" i="1"/>
  <c r="D38" i="1"/>
  <c r="F38" i="1"/>
  <c r="H38" i="1"/>
  <c r="K14" i="2"/>
  <c r="E5" i="1" s="1"/>
  <c r="J14" i="1"/>
  <c r="K16" i="1"/>
  <c r="G38" i="1"/>
  <c r="C38" i="1"/>
  <c r="E38" i="1"/>
  <c r="K50" i="1"/>
  <c r="K28" i="1" l="1"/>
  <c r="K31" i="1" s="1"/>
  <c r="K35" i="1" s="1"/>
  <c r="I38" i="1"/>
  <c r="I40" i="1"/>
  <c r="I55" i="1" s="1"/>
  <c r="J37" i="1"/>
  <c r="J29" i="1"/>
  <c r="K14" i="1"/>
  <c r="L22" i="1"/>
  <c r="L19" i="1"/>
  <c r="L25" i="1"/>
  <c r="L50" i="1"/>
  <c r="L16" i="1"/>
  <c r="L28" i="1" l="1"/>
  <c r="L31" i="1" s="1"/>
  <c r="L35" i="1" s="1"/>
  <c r="I53" i="1"/>
  <c r="I57" i="1" s="1"/>
  <c r="I58" i="1" s="1"/>
  <c r="K37" i="1"/>
  <c r="J38" i="1"/>
  <c r="J40" i="1"/>
  <c r="J55" i="1" s="1"/>
  <c r="K29" i="1"/>
  <c r="L37" i="1"/>
  <c r="L38" i="1" s="1"/>
  <c r="M25" i="1"/>
  <c r="M22" i="1"/>
  <c r="M19" i="1"/>
  <c r="L14" i="1"/>
  <c r="M16" i="1"/>
  <c r="M50" i="1"/>
  <c r="M28" i="1" l="1"/>
  <c r="M31" i="1" s="1"/>
  <c r="M35" i="1" s="1"/>
  <c r="K38" i="1"/>
  <c r="K40" i="1"/>
  <c r="K55" i="1" s="1"/>
  <c r="L40" i="1"/>
  <c r="L55" i="1" s="1"/>
  <c r="J53" i="1"/>
  <c r="J57" i="1" s="1"/>
  <c r="J58" i="1" s="1"/>
  <c r="L29" i="1"/>
  <c r="M37" i="1"/>
  <c r="M38" i="1" s="1"/>
  <c r="L53" i="1"/>
  <c r="M29" i="1"/>
  <c r="M14" i="1"/>
  <c r="N22" i="1"/>
  <c r="N19" i="1"/>
  <c r="N25" i="1"/>
  <c r="N50" i="1"/>
  <c r="N44" i="1"/>
  <c r="N16" i="1"/>
  <c r="N14" i="1" s="1"/>
  <c r="N28" i="1" l="1"/>
  <c r="N31" i="1" s="1"/>
  <c r="N35" i="1" s="1"/>
  <c r="M40" i="1"/>
  <c r="K53" i="1"/>
  <c r="K57" i="1" s="1"/>
  <c r="K58" i="1" s="1"/>
  <c r="L57" i="1"/>
  <c r="L58" i="1" s="1"/>
  <c r="O25" i="1"/>
  <c r="O22" i="1"/>
  <c r="O19" i="1"/>
  <c r="O44" i="1"/>
  <c r="O16" i="1"/>
  <c r="O50" i="1"/>
  <c r="O28" i="1" l="1"/>
  <c r="O31" i="1" s="1"/>
  <c r="O35" i="1" s="1"/>
  <c r="M53" i="1"/>
  <c r="M55" i="1"/>
  <c r="N37" i="1"/>
  <c r="N29" i="1"/>
  <c r="M57" i="1"/>
  <c r="M58" i="1" s="1"/>
  <c r="O14" i="1"/>
  <c r="P22" i="1"/>
  <c r="P19" i="1"/>
  <c r="P25" i="1"/>
  <c r="P44" i="1"/>
  <c r="P16" i="1"/>
  <c r="P50" i="1"/>
  <c r="P28" i="1" l="1"/>
  <c r="P31" i="1" s="1"/>
  <c r="P35" i="1" s="1"/>
  <c r="N38" i="1"/>
  <c r="N40" i="1"/>
  <c r="N55" i="1" s="1"/>
  <c r="O37" i="1"/>
  <c r="O29" i="1"/>
  <c r="Q25" i="1"/>
  <c r="Q22" i="1"/>
  <c r="Q19" i="1"/>
  <c r="Q44" i="1"/>
  <c r="P14" i="1"/>
  <c r="Q16" i="1"/>
  <c r="Q50" i="1"/>
  <c r="Q28" i="1" l="1"/>
  <c r="Q31" i="1" s="1"/>
  <c r="Q35" i="1" s="1"/>
  <c r="P29" i="1"/>
  <c r="P37" i="1"/>
  <c r="O38" i="1"/>
  <c r="O40" i="1"/>
  <c r="N53" i="1"/>
  <c r="N57" i="1" s="1"/>
  <c r="N58" i="1" s="1"/>
  <c r="Q37" i="1"/>
  <c r="Q38" i="1" s="1"/>
  <c r="R22" i="1"/>
  <c r="R19" i="1"/>
  <c r="R25" i="1"/>
  <c r="R44" i="1"/>
  <c r="R16" i="1"/>
  <c r="R50" i="1"/>
  <c r="Q14" i="1"/>
  <c r="R28" i="1" l="1"/>
  <c r="R31" i="1" s="1"/>
  <c r="R35" i="1" s="1"/>
  <c r="O53" i="1"/>
  <c r="O57" i="1" s="1"/>
  <c r="O58" i="1" s="1"/>
  <c r="O55" i="1"/>
  <c r="Q40" i="1"/>
  <c r="P38" i="1"/>
  <c r="P40" i="1"/>
  <c r="P55" i="1" s="1"/>
  <c r="Q29" i="1"/>
  <c r="R14" i="1"/>
  <c r="R37" i="1" l="1"/>
  <c r="R38" i="1" s="1"/>
  <c r="Q53" i="1"/>
  <c r="Q57" i="1" s="1"/>
  <c r="Q58" i="1" s="1"/>
  <c r="Q55" i="1"/>
  <c r="R29" i="1"/>
  <c r="P53" i="1"/>
  <c r="P57" i="1" s="1"/>
  <c r="P58" i="1" s="1"/>
  <c r="R40" i="1" l="1"/>
  <c r="R53" i="1" s="1"/>
  <c r="R57" i="1" s="1"/>
  <c r="R55" i="1"/>
  <c r="R58" i="1" l="1"/>
  <c r="C60" i="1"/>
  <c r="C61" i="1" s="1"/>
  <c r="G63" i="1" s="1"/>
  <c r="G65" i="1" s="1"/>
  <c r="G68" i="1" s="1"/>
  <c r="S55" i="1" l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F60" i="1" l="1"/>
  <c r="H63" i="1" s="1"/>
  <c r="H65" i="1" l="1"/>
  <c r="H68" i="1" s="1"/>
  <c r="D68" i="1" s="1"/>
  <c r="L62" i="1" s="1"/>
  <c r="J6" i="1" l="1"/>
  <c r="N5" i="1" s="1"/>
</calcChain>
</file>

<file path=xl/sharedStrings.xml><?xml version="1.0" encoding="utf-8"?>
<sst xmlns="http://schemas.openxmlformats.org/spreadsheetml/2006/main" count="85" uniqueCount="58">
  <si>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</si>
  <si>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</si>
  <si>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</si>
  <si>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</si>
  <si>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</si>
  <si>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</si>
  <si>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</si>
  <si>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</si>
  <si>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</si>
  <si>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</si>
  <si>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</si>
  <si>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</si>
  <si>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</si>
  <si>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</si>
  <si>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</si>
  <si>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</si>
  <si>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</si>
  <si>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</si>
  <si>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</si>
  <si>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</si>
  <si>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</si>
  <si>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</si>
  <si>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</si>
  <si>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</si>
  <si>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</si>
  <si>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</si>
  <si>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</si>
  <si>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</si>
  <si>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</si>
  <si>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</si>
  <si>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</si>
  <si>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</si>
  <si>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</si>
  <si>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</si>
  <si>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</si>
  <si>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</si>
  <si>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</si>
  <si>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</si>
  <si>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</si>
  <si>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</si>
  <si>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</si>
  <si>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</si>
  <si>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</si>
  <si>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</si>
  <si>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</si>
  <si>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</si>
  <si>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</si>
  <si>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</si>
  <si>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</si>
  <si>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</si>
  <si>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</si>
  <si>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</si>
  <si>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</si>
  <si>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</si>
  <si>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SG&amp;A</t>
  </si>
  <si>
    <t>Other exp</t>
  </si>
  <si>
    <t>NCI</t>
  </si>
  <si>
    <t>Qualcomm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</si>
</sst>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10" fillId="2" borderId="0" xfId="0" applyFont="1" applyFill="1"/>
    <xf numFmtId="2" fontId="3" fillId="2" borderId="0" xfId="0" applyNumberFormat="1" applyFont="1" applyFill="1" applyAlignment="1">
      <alignment horizontal="left"/>
    </xf>
    <xf numFmtId="0" fontId="3" fillId="2" borderId="0" xfId="1" applyNumberFormat="1" applyFont="1" applyFill="1"/>
    <xf numFmtId="3" fontId="3" fillId="2" borderId="0" xfId="1" applyNumberFormat="1" applyFont="1" applyFill="1"/>
    <xf numFmtId="3" fontId="0" fillId="0" borderId="1" xfId="0" applyNumberFormat="1" applyBorder="1"/>
    <xf numFmtId="1" fontId="0" fillId="2" borderId="0" xfId="0" applyNumberFormat="1" applyFont="1" applyFill="1" applyBorder="1"/>
    <xf numFmtId="164" fontId="11" fillId="2" borderId="0" xfId="1" applyNumberFormat="1" applyFont="1" applyFill="1" applyBorder="1"/>
    <xf numFmtId="0" fontId="0" fillId="2" borderId="0" xfId="0" applyFont="1" applyFill="1" applyBorder="1"/>
    <xf numFmtId="3" fontId="0" fillId="2" borderId="0" xfId="0" applyNumberFormat="1" applyFont="1" applyFill="1" applyBorder="1"/>
    <xf numFmtId="0" fontId="2" fillId="3" borderId="0" xfId="0" applyFont="1" applyFill="1" applyBorder="1"/>
    <xf numFmtId="3" fontId="0" fillId="0" borderId="0" xfId="0" applyNumberFormat="1" applyFont="1" applyBorder="1"/>
    <xf numFmtId="1" fontId="0" fillId="2" borderId="4" xfId="0" applyNumberFormat="1" applyFont="1" applyFill="1" applyBorder="1"/>
    <xf numFmtId="0" fontId="0" fillId="2" borderId="4" xfId="0" applyFont="1" applyFill="1" applyBorder="1"/>
    <xf numFmtId="164" fontId="11" fillId="2" borderId="4" xfId="1" applyNumberFormat="1" applyFont="1" applyFill="1" applyBorder="1"/>
    <xf numFmtId="3" fontId="0" fillId="2" borderId="4" xfId="0" applyNumberFormat="1" applyFont="1" applyFill="1" applyBorder="1"/>
    <xf numFmtId="0" fontId="2" fillId="3" borderId="4" xfId="0" applyFont="1" applyFill="1" applyBorder="1"/>
    <xf numFmtId="3" fontId="0" fillId="0" borderId="4" xfId="0" applyNumberFormat="1" applyFont="1" applyBorder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0" fontId="7" fillId="8" borderId="0" xfId="0" applyFont="1" applyFill="1"/>
    <xf numFmtId="164" fontId="7" fillId="8" borderId="0" xfId="1" applyNumberFormat="1" applyFont="1" applyFill="1"/>
    <xf numFmtId="164" fontId="11" fillId="8" borderId="4" xfId="1" applyNumberFormat="1" applyFont="1" applyFill="1" applyBorder="1"/>
    <xf numFmtId="164" fontId="11" fillId="8" borderId="0" xfId="1" applyNumberFormat="1" applyFont="1" applyFill="1" applyBorder="1"/>
    <xf numFmtId="164" fontId="11" fillId="8" borderId="4" xfId="0" applyNumberFormat="1" applyFont="1" applyFill="1" applyBorder="1"/>
    <xf numFmtId="164" fontId="11" fillId="8" borderId="0" xfId="0" applyNumberFormat="1" applyFont="1" applyFill="1" applyBorder="1"/>
    <xf numFmtId="9" fontId="11" fillId="8" borderId="4" xfId="1" applyFont="1" applyFill="1" applyBorder="1"/>
    <xf numFmtId="9" fontId="11" fillId="8" borderId="0" xfId="1" applyFont="1" applyFill="1" applyBorder="1"/>
    <xf numFmtId="164" fontId="3" fillId="8" borderId="0" xfId="1" applyNumberFormat="1" applyFont="1" applyFill="1"/>
    <xf numFmtId="10" fontId="11" fillId="8" borderId="4" xfId="0" applyNumberFormat="1" applyFont="1" applyFill="1" applyBorder="1"/>
    <xf numFmtId="10" fontId="11" fillId="8" borderId="0" xfId="0" applyNumberFormat="1" applyFont="1" applyFill="1" applyBorder="1"/>
    <xf numFmtId="164" fontId="0" fillId="8" borderId="4" xfId="0" applyNumberFormat="1" applyFont="1" applyFill="1" applyBorder="1"/>
    <xf numFmtId="164" fontId="0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9"/>
  <sheetViews>
    <sheetView tabSelected="1" workbookViewId="0">
      <selection activeCell="I66" sqref="I66"/>
    </sheetView>
  </sheetViews>
  <sheetFormatPr defaultRowHeight="15" x14ac:dyDescent="0.25"/>
  <cols>
    <col min="1" max="1" width="7.7109375" style="2" customWidth="1"/>
    <col min="2" max="2" width="14.5703125" style="2" customWidth="1"/>
    <col min="3" max="5" width="9.140625" style="2"/>
    <col min="6" max="6" width="10.42578125" style="2" customWidth="1"/>
    <col min="7" max="7" width="9.140625" style="2"/>
    <col min="8" max="8" width="10.85546875" style="2" customWidth="1"/>
    <col min="9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49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7"/>
    </row>
    <row r="5" spans="1:86" x14ac:dyDescent="0.25">
      <c r="A5" s="1"/>
      <c r="B5" s="1"/>
      <c r="C5" s="7" t="s">
        <v>1</v>
      </c>
      <c r="D5" s="1"/>
      <c r="E5" s="8">
        <f>WACC!K14</f>
        <v>0.10928174372325834</v>
      </c>
      <c r="G5" s="1"/>
      <c r="H5" s="1" t="s">
        <v>2</v>
      </c>
      <c r="I5" s="1"/>
      <c r="J5" s="7">
        <v>116.36</v>
      </c>
      <c r="K5" s="1"/>
      <c r="L5" s="1" t="s">
        <v>3</v>
      </c>
      <c r="M5" s="1"/>
      <c r="N5" s="65">
        <f>(J6/J5)-1</f>
        <v>6.4640798862516835E-2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68">
        <f>D68</f>
        <v>123.88160335564245</v>
      </c>
      <c r="K6" s="1"/>
      <c r="L6" s="1" t="s">
        <v>53</v>
      </c>
      <c r="M6" s="1"/>
      <c r="N6" s="64">
        <v>45083</v>
      </c>
      <c r="O6" s="1"/>
      <c r="P6" s="1"/>
      <c r="Q6" s="1"/>
    </row>
    <row r="7" spans="1:86" x14ac:dyDescent="0.25">
      <c r="B7" s="64"/>
      <c r="C7" s="1"/>
      <c r="D7" s="1"/>
      <c r="E7" s="9"/>
      <c r="F7" s="1"/>
      <c r="G7" s="1"/>
      <c r="H7" s="1"/>
      <c r="I7" s="1"/>
      <c r="J7" s="1"/>
      <c r="K7" s="1"/>
      <c r="L7" s="55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6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2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22258</v>
      </c>
      <c r="D11" s="12">
        <v>22611</v>
      </c>
      <c r="E11" s="12">
        <v>24273</v>
      </c>
      <c r="F11" s="12">
        <v>23531</v>
      </c>
      <c r="G11" s="12">
        <v>33566</v>
      </c>
      <c r="H11" s="12">
        <v>44200</v>
      </c>
      <c r="I11" s="78">
        <f>H11*(1+I12)</f>
        <v>36110</v>
      </c>
      <c r="J11" s="72">
        <f t="shared" ref="J11:R11" si="1">I11*(1+J12)</f>
        <v>39500</v>
      </c>
      <c r="K11" s="72">
        <f t="shared" si="1"/>
        <v>40150</v>
      </c>
      <c r="L11" s="72">
        <f t="shared" si="1"/>
        <v>42000</v>
      </c>
      <c r="M11" s="72">
        <f t="shared" si="1"/>
        <v>44809.999999999993</v>
      </c>
      <c r="N11" s="72">
        <f t="shared" si="1"/>
        <v>47050.499999999993</v>
      </c>
      <c r="O11" s="72">
        <f t="shared" si="1"/>
        <v>49403.024999999994</v>
      </c>
      <c r="P11" s="72">
        <f t="shared" si="1"/>
        <v>51873.176249999997</v>
      </c>
      <c r="Q11" s="72">
        <f t="shared" si="1"/>
        <v>54466.835062500002</v>
      </c>
      <c r="R11" s="72">
        <f t="shared" si="1"/>
        <v>57190.176815625004</v>
      </c>
    </row>
    <row r="12" spans="1:86" x14ac:dyDescent="0.25">
      <c r="A12" s="1"/>
      <c r="B12" s="86" t="s">
        <v>8</v>
      </c>
      <c r="C12" s="87"/>
      <c r="D12" s="87">
        <f>(D11/C11)-1</f>
        <v>1.5859466259322552E-2</v>
      </c>
      <c r="E12" s="87">
        <f t="shared" ref="E12:H12" si="2">(E11/D11)-1</f>
        <v>7.3504046702932202E-2</v>
      </c>
      <c r="F12" s="87">
        <f t="shared" si="2"/>
        <v>-3.056894491822193E-2</v>
      </c>
      <c r="G12" s="87">
        <f t="shared" si="2"/>
        <v>0.42645871403680258</v>
      </c>
      <c r="H12" s="87">
        <f t="shared" si="2"/>
        <v>0.31680867544539115</v>
      </c>
      <c r="I12" s="88">
        <v>-0.18303167420814481</v>
      </c>
      <c r="J12" s="89">
        <v>9.3879811686513381E-2</v>
      </c>
      <c r="K12" s="89">
        <v>1.6455696202531733E-2</v>
      </c>
      <c r="L12" s="89">
        <v>4.6077210460772067E-2</v>
      </c>
      <c r="M12" s="89">
        <v>6.69047619047618E-2</v>
      </c>
      <c r="N12" s="89">
        <v>0.05</v>
      </c>
      <c r="O12" s="89">
        <v>0.05</v>
      </c>
      <c r="P12" s="89">
        <v>0.05</v>
      </c>
      <c r="Q12" s="89">
        <v>0.05</v>
      </c>
      <c r="R12" s="89">
        <v>0.05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9"/>
      <c r="J13" s="74"/>
      <c r="K13" s="74"/>
      <c r="L13" s="74"/>
      <c r="M13" s="74"/>
      <c r="N13" s="74"/>
      <c r="O13" s="74"/>
      <c r="P13" s="74"/>
      <c r="Q13" s="74"/>
      <c r="R13" s="74"/>
    </row>
    <row r="14" spans="1:86" x14ac:dyDescent="0.25">
      <c r="A14" s="1"/>
      <c r="B14" s="1" t="s">
        <v>9</v>
      </c>
      <c r="C14" s="12">
        <v>9792</v>
      </c>
      <c r="D14" s="12">
        <v>10244</v>
      </c>
      <c r="E14" s="12">
        <v>8599</v>
      </c>
      <c r="F14" s="12">
        <v>9255</v>
      </c>
      <c r="G14" s="12">
        <v>14262</v>
      </c>
      <c r="H14" s="34">
        <v>18635</v>
      </c>
      <c r="I14" s="84">
        <f>I11-I16</f>
        <v>15787.292000000001</v>
      </c>
      <c r="J14" s="85">
        <f t="shared" ref="J14:K14" si="3">J11-J16</f>
        <v>17194.350000000002</v>
      </c>
      <c r="K14" s="85">
        <f t="shared" si="3"/>
        <v>17204.275000000001</v>
      </c>
      <c r="L14" s="85">
        <f t="shared" ref="L14:R14" si="4">L11-L16</f>
        <v>17913</v>
      </c>
      <c r="M14" s="85">
        <f t="shared" si="4"/>
        <v>18416.91</v>
      </c>
      <c r="N14" s="85">
        <f t="shared" si="4"/>
        <v>19337.755499999999</v>
      </c>
      <c r="O14" s="85">
        <f t="shared" si="4"/>
        <v>20304.643274999999</v>
      </c>
      <c r="P14" s="85">
        <f t="shared" si="4"/>
        <v>21319.875438750001</v>
      </c>
      <c r="Q14" s="85">
        <f t="shared" si="4"/>
        <v>22385.869210687502</v>
      </c>
      <c r="R14" s="85">
        <f t="shared" si="4"/>
        <v>23505.162671221879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9"/>
      <c r="J15" s="74"/>
      <c r="K15" s="74"/>
      <c r="L15" s="74"/>
      <c r="M15" s="74"/>
      <c r="N15" s="74"/>
      <c r="O15" s="74"/>
      <c r="P15" s="74"/>
      <c r="Q15" s="74"/>
      <c r="R15" s="74"/>
    </row>
    <row r="16" spans="1:86" x14ac:dyDescent="0.25">
      <c r="A16" s="1"/>
      <c r="B16" s="1" t="s">
        <v>10</v>
      </c>
      <c r="C16" s="12">
        <f t="shared" ref="C16:F16" si="5">C11-C14</f>
        <v>12466</v>
      </c>
      <c r="D16" s="12">
        <f t="shared" si="5"/>
        <v>12367</v>
      </c>
      <c r="E16" s="12">
        <f t="shared" si="5"/>
        <v>15674</v>
      </c>
      <c r="F16" s="12">
        <f t="shared" si="5"/>
        <v>14276</v>
      </c>
      <c r="G16" s="12">
        <f>G11-G14</f>
        <v>19304</v>
      </c>
      <c r="H16" s="12">
        <f>H11-H14</f>
        <v>25565</v>
      </c>
      <c r="I16" s="78">
        <f>I11*I17</f>
        <v>20322.707999999999</v>
      </c>
      <c r="J16" s="72">
        <f t="shared" ref="J16:R16" si="6">J11*J17</f>
        <v>22305.649999999998</v>
      </c>
      <c r="K16" s="72">
        <f t="shared" si="6"/>
        <v>22945.724999999999</v>
      </c>
      <c r="L16" s="72">
        <f t="shared" si="6"/>
        <v>24087</v>
      </c>
      <c r="M16" s="72">
        <f t="shared" si="6"/>
        <v>26393.089999999993</v>
      </c>
      <c r="N16" s="72">
        <f t="shared" si="6"/>
        <v>27712.744499999993</v>
      </c>
      <c r="O16" s="72">
        <f t="shared" si="6"/>
        <v>29098.381724999996</v>
      </c>
      <c r="P16" s="72">
        <f t="shared" si="6"/>
        <v>30553.300811249996</v>
      </c>
      <c r="Q16" s="72">
        <f t="shared" si="6"/>
        <v>32080.9658518125</v>
      </c>
      <c r="R16" s="72">
        <f t="shared" si="6"/>
        <v>33685.014144403125</v>
      </c>
    </row>
    <row r="17" spans="1:18" x14ac:dyDescent="0.25">
      <c r="A17" s="1"/>
      <c r="B17" s="86" t="s">
        <v>11</v>
      </c>
      <c r="C17" s="87">
        <f>C16/C11</f>
        <v>0.56006829005301462</v>
      </c>
      <c r="D17" s="87">
        <f t="shared" ref="D17:H17" si="7">D16/D11</f>
        <v>0.5469461766396887</v>
      </c>
      <c r="E17" s="87">
        <f t="shared" si="7"/>
        <v>0.64573806286820745</v>
      </c>
      <c r="F17" s="87">
        <f t="shared" si="7"/>
        <v>0.606689048489227</v>
      </c>
      <c r="G17" s="87">
        <f t="shared" si="7"/>
        <v>0.57510576178275641</v>
      </c>
      <c r="H17" s="87">
        <f t="shared" si="7"/>
        <v>0.5783936651583711</v>
      </c>
      <c r="I17" s="90">
        <v>0.56279999999999997</v>
      </c>
      <c r="J17" s="91">
        <v>0.56469999999999998</v>
      </c>
      <c r="K17" s="91">
        <v>0.57150000000000001</v>
      </c>
      <c r="L17" s="91">
        <v>0.57350000000000001</v>
      </c>
      <c r="M17" s="91">
        <v>0.58899999999999997</v>
      </c>
      <c r="N17" s="91">
        <v>0.58899999999999997</v>
      </c>
      <c r="O17" s="91">
        <v>0.58899999999999997</v>
      </c>
      <c r="P17" s="91">
        <v>0.58899999999999997</v>
      </c>
      <c r="Q17" s="91">
        <v>0.58899999999999997</v>
      </c>
      <c r="R17" s="91">
        <v>0.58899999999999997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9"/>
      <c r="J18" s="74"/>
      <c r="K18" s="74"/>
      <c r="L18" s="74"/>
      <c r="M18" s="74"/>
      <c r="N18" s="74"/>
      <c r="O18" s="74"/>
      <c r="P18" s="74"/>
      <c r="Q18" s="74"/>
      <c r="R18" s="74"/>
    </row>
    <row r="19" spans="1:18" x14ac:dyDescent="0.25">
      <c r="A19" s="1"/>
      <c r="B19" s="1" t="s">
        <v>12</v>
      </c>
      <c r="C19" s="12">
        <v>5485</v>
      </c>
      <c r="D19" s="12">
        <v>5625</v>
      </c>
      <c r="E19" s="12">
        <v>5398</v>
      </c>
      <c r="F19" s="12">
        <v>5975</v>
      </c>
      <c r="G19" s="12">
        <v>7176</v>
      </c>
      <c r="H19" s="12">
        <v>8194</v>
      </c>
      <c r="I19" s="78">
        <f>I20*I11</f>
        <v>9027.5</v>
      </c>
      <c r="J19" s="72">
        <f t="shared" ref="J19:R19" si="8">J20*J11</f>
        <v>9480</v>
      </c>
      <c r="K19" s="72">
        <f t="shared" si="8"/>
        <v>9435.25</v>
      </c>
      <c r="L19" s="72">
        <f t="shared" si="8"/>
        <v>8820</v>
      </c>
      <c r="M19" s="72">
        <f t="shared" si="8"/>
        <v>9186.0499999999975</v>
      </c>
      <c r="N19" s="72">
        <f t="shared" si="8"/>
        <v>9574.7767499999973</v>
      </c>
      <c r="O19" s="72">
        <f t="shared" si="8"/>
        <v>9979.4110499999988</v>
      </c>
      <c r="P19" s="72">
        <f t="shared" si="8"/>
        <v>10400.571838124999</v>
      </c>
      <c r="Q19" s="72">
        <f t="shared" si="8"/>
        <v>10838.900177437499</v>
      </c>
      <c r="R19" s="72">
        <f t="shared" si="8"/>
        <v>11295.059921085936</v>
      </c>
    </row>
    <row r="20" spans="1:18" x14ac:dyDescent="0.25">
      <c r="A20" s="1"/>
      <c r="B20" s="86" t="s">
        <v>18</v>
      </c>
      <c r="C20" s="87">
        <f>C19/C11</f>
        <v>0.24642825051666817</v>
      </c>
      <c r="D20" s="87">
        <f t="shared" ref="D20:H20" si="9">D19/D11</f>
        <v>0.24877272124187341</v>
      </c>
      <c r="E20" s="87">
        <f t="shared" si="9"/>
        <v>0.22238701437811559</v>
      </c>
      <c r="F20" s="87">
        <f t="shared" si="9"/>
        <v>0.25392036037567467</v>
      </c>
      <c r="G20" s="87">
        <f t="shared" si="9"/>
        <v>0.21378776142525174</v>
      </c>
      <c r="H20" s="87">
        <f t="shared" si="9"/>
        <v>0.1853846153846154</v>
      </c>
      <c r="I20" s="88">
        <v>0.25</v>
      </c>
      <c r="J20" s="89">
        <v>0.24</v>
      </c>
      <c r="K20" s="89">
        <v>0.23499999999999999</v>
      </c>
      <c r="L20" s="89">
        <v>0.21</v>
      </c>
      <c r="M20" s="89">
        <v>0.20499999999999999</v>
      </c>
      <c r="N20" s="89">
        <f t="shared" ref="K20:R20" si="10">M20-0.15%</f>
        <v>0.20349999999999999</v>
      </c>
      <c r="O20" s="89">
        <f t="shared" ref="O20" si="11">N20-0.15%</f>
        <v>0.20199999999999999</v>
      </c>
      <c r="P20" s="89">
        <f t="shared" ref="P20" si="12">O20-0.15%</f>
        <v>0.20049999999999998</v>
      </c>
      <c r="Q20" s="89">
        <f t="shared" ref="Q20" si="13">P20-0.15%</f>
        <v>0.19899999999999998</v>
      </c>
      <c r="R20" s="89">
        <f t="shared" ref="R20" si="14">Q20-0.15%</f>
        <v>0.19749999999999998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78"/>
      <c r="J21" s="72"/>
      <c r="K21" s="72"/>
      <c r="L21" s="72"/>
      <c r="M21" s="72"/>
      <c r="N21" s="72"/>
      <c r="O21" s="72"/>
      <c r="P21" s="72"/>
      <c r="Q21" s="72"/>
      <c r="R21" s="72"/>
    </row>
    <row r="22" spans="1:18" x14ac:dyDescent="0.25">
      <c r="A22" s="1"/>
      <c r="B22" s="1" t="s">
        <v>54</v>
      </c>
      <c r="C22" s="12">
        <v>2658</v>
      </c>
      <c r="D22" s="12">
        <v>2986</v>
      </c>
      <c r="E22" s="12">
        <v>2195</v>
      </c>
      <c r="F22" s="12">
        <v>2074</v>
      </c>
      <c r="G22" s="12">
        <v>2339</v>
      </c>
      <c r="H22" s="12">
        <v>2570</v>
      </c>
      <c r="I22" s="78">
        <f>I23*I11</f>
        <v>2527.7000000000003</v>
      </c>
      <c r="J22" s="72">
        <f t="shared" ref="J22:R22" si="15">J23*J11</f>
        <v>2449</v>
      </c>
      <c r="K22" s="72">
        <f t="shared" si="15"/>
        <v>2429.0749999999998</v>
      </c>
      <c r="L22" s="72">
        <f t="shared" si="15"/>
        <v>2310</v>
      </c>
      <c r="M22" s="72">
        <f t="shared" si="15"/>
        <v>2464.5499999999997</v>
      </c>
      <c r="N22" s="72">
        <f t="shared" si="15"/>
        <v>2517.2017499999997</v>
      </c>
      <c r="O22" s="72">
        <f t="shared" si="15"/>
        <v>2568.9572999999996</v>
      </c>
      <c r="P22" s="72">
        <f t="shared" si="15"/>
        <v>2619.5954006249995</v>
      </c>
      <c r="Q22" s="72">
        <f t="shared" si="15"/>
        <v>2668.8749180625</v>
      </c>
      <c r="R22" s="72">
        <f t="shared" si="15"/>
        <v>2716.5333987421873</v>
      </c>
    </row>
    <row r="23" spans="1:18" x14ac:dyDescent="0.25">
      <c r="A23" s="1"/>
      <c r="B23" s="86" t="s">
        <v>18</v>
      </c>
      <c r="C23" s="87">
        <f>C22/C11</f>
        <v>0.11941773744271722</v>
      </c>
      <c r="D23" s="87">
        <f t="shared" ref="D23:H23" si="16">D22/D11</f>
        <v>0.13205961700057495</v>
      </c>
      <c r="E23" s="87">
        <f t="shared" si="16"/>
        <v>9.0429695546491981E-2</v>
      </c>
      <c r="F23" s="87">
        <f t="shared" si="16"/>
        <v>8.8139050614083544E-2</v>
      </c>
      <c r="G23" s="87">
        <f t="shared" si="16"/>
        <v>6.9683608413275339E-2</v>
      </c>
      <c r="H23" s="87">
        <f t="shared" si="16"/>
        <v>5.8144796380090499E-2</v>
      </c>
      <c r="I23" s="88">
        <v>7.0000000000000007E-2</v>
      </c>
      <c r="J23" s="89">
        <v>6.2E-2</v>
      </c>
      <c r="K23" s="89">
        <f t="shared" ref="K23:R23" si="17">J23-0.15%</f>
        <v>6.0499999999999998E-2</v>
      </c>
      <c r="L23" s="89">
        <v>5.5E-2</v>
      </c>
      <c r="M23" s="89">
        <v>5.5E-2</v>
      </c>
      <c r="N23" s="89">
        <f t="shared" si="17"/>
        <v>5.3499999999999999E-2</v>
      </c>
      <c r="O23" s="89">
        <f t="shared" si="17"/>
        <v>5.1999999999999998E-2</v>
      </c>
      <c r="P23" s="89">
        <f t="shared" si="17"/>
        <v>5.0499999999999996E-2</v>
      </c>
      <c r="Q23" s="89">
        <f t="shared" si="17"/>
        <v>4.8999999999999995E-2</v>
      </c>
      <c r="R23" s="89">
        <f t="shared" si="17"/>
        <v>4.7499999999999994E-2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8"/>
      <c r="J24" s="72"/>
      <c r="K24" s="72"/>
      <c r="L24" s="72"/>
      <c r="M24" s="72"/>
      <c r="N24" s="72"/>
      <c r="O24" s="72"/>
      <c r="P24" s="72"/>
      <c r="Q24" s="72"/>
      <c r="R24" s="72"/>
    </row>
    <row r="25" spans="1:18" x14ac:dyDescent="0.25">
      <c r="A25" s="1"/>
      <c r="B25" s="1" t="s">
        <v>55</v>
      </c>
      <c r="C25" s="12">
        <v>1742</v>
      </c>
      <c r="D25" s="12">
        <v>3135</v>
      </c>
      <c r="E25" s="12">
        <v>414</v>
      </c>
      <c r="F25" s="12">
        <v>-28</v>
      </c>
      <c r="G25" s="12">
        <v>0</v>
      </c>
      <c r="H25" s="12">
        <v>-1059</v>
      </c>
      <c r="I25" s="81">
        <f t="shared" ref="I25:R25" si="18">I26*I11</f>
        <v>-722.2</v>
      </c>
      <c r="J25" s="75">
        <f t="shared" si="18"/>
        <v>-395</v>
      </c>
      <c r="K25" s="75">
        <f t="shared" si="18"/>
        <v>195.74812820610046</v>
      </c>
      <c r="L25" s="75">
        <f t="shared" si="18"/>
        <v>-420</v>
      </c>
      <c r="M25" s="75">
        <f t="shared" si="18"/>
        <v>-89.61999999999999</v>
      </c>
      <c r="N25" s="75">
        <f t="shared" si="18"/>
        <v>-94.100999999999985</v>
      </c>
      <c r="O25" s="75">
        <f t="shared" si="18"/>
        <v>-98.806049999999985</v>
      </c>
      <c r="P25" s="75">
        <f t="shared" si="18"/>
        <v>-103.7463525</v>
      </c>
      <c r="Q25" s="75">
        <f t="shared" si="18"/>
        <v>-108.93367012500001</v>
      </c>
      <c r="R25" s="75">
        <f t="shared" si="18"/>
        <v>-114.38035363125</v>
      </c>
    </row>
    <row r="26" spans="1:18" x14ac:dyDescent="0.25">
      <c r="A26" s="1"/>
      <c r="B26" s="86" t="s">
        <v>18</v>
      </c>
      <c r="C26" s="87">
        <f t="shared" ref="C26:H26" si="19">C25/C11</f>
        <v>7.8263994968101352E-2</v>
      </c>
      <c r="D26" s="87">
        <f t="shared" si="19"/>
        <v>0.13864932997213744</v>
      </c>
      <c r="E26" s="87">
        <f t="shared" si="19"/>
        <v>1.7055988134964777E-2</v>
      </c>
      <c r="F26" s="87">
        <f t="shared" si="19"/>
        <v>-1.1899196804215715E-3</v>
      </c>
      <c r="G26" s="87">
        <f t="shared" si="19"/>
        <v>0</v>
      </c>
      <c r="H26" s="87">
        <f t="shared" si="19"/>
        <v>-2.3959276018099548E-2</v>
      </c>
      <c r="I26" s="88">
        <v>-0.02</v>
      </c>
      <c r="J26" s="89">
        <v>-0.01</v>
      </c>
      <c r="K26" s="89">
        <v>4.8754203787322653E-3</v>
      </c>
      <c r="L26" s="89">
        <v>-0.01</v>
      </c>
      <c r="M26" s="89">
        <v>-2E-3</v>
      </c>
      <c r="N26" s="89">
        <v>-2E-3</v>
      </c>
      <c r="O26" s="89">
        <v>-2E-3</v>
      </c>
      <c r="P26" s="89">
        <v>-2E-3</v>
      </c>
      <c r="Q26" s="89">
        <v>-2E-3</v>
      </c>
      <c r="R26" s="89">
        <v>-2E-3</v>
      </c>
    </row>
    <row r="27" spans="1:18" x14ac:dyDescent="0.25">
      <c r="A27" s="1"/>
      <c r="B27" s="1"/>
      <c r="C27" s="1"/>
      <c r="D27" s="1"/>
      <c r="E27" s="1"/>
      <c r="F27" s="12"/>
      <c r="G27" s="12"/>
      <c r="H27" s="12"/>
      <c r="I27" s="79"/>
      <c r="J27" s="74"/>
      <c r="K27" s="74"/>
      <c r="L27" s="74"/>
      <c r="M27" s="74"/>
      <c r="N27" s="74"/>
      <c r="O27" s="74"/>
      <c r="P27" s="74"/>
      <c r="Q27" s="74"/>
      <c r="R27" s="74"/>
    </row>
    <row r="28" spans="1:18" x14ac:dyDescent="0.25">
      <c r="A28" s="1"/>
      <c r="B28" s="1" t="s">
        <v>13</v>
      </c>
      <c r="C28" s="12">
        <f t="shared" ref="C28:G28" si="20">C19+C22+C25</f>
        <v>9885</v>
      </c>
      <c r="D28" s="12">
        <f t="shared" si="20"/>
        <v>11746</v>
      </c>
      <c r="E28" s="12">
        <f t="shared" si="20"/>
        <v>8007</v>
      </c>
      <c r="F28" s="12">
        <f t="shared" si="20"/>
        <v>8021</v>
      </c>
      <c r="G28" s="12">
        <f t="shared" si="20"/>
        <v>9515</v>
      </c>
      <c r="H28" s="12">
        <f>H19+H22+H25</f>
        <v>9705</v>
      </c>
      <c r="I28" s="81">
        <f t="shared" ref="I28:R28" si="21">I19+I22+I25</f>
        <v>10833</v>
      </c>
      <c r="J28" s="75">
        <f t="shared" si="21"/>
        <v>11534</v>
      </c>
      <c r="K28" s="75">
        <f t="shared" si="21"/>
        <v>12060.073128206101</v>
      </c>
      <c r="L28" s="75">
        <f t="shared" si="21"/>
        <v>10710</v>
      </c>
      <c r="M28" s="75">
        <f t="shared" si="21"/>
        <v>11560.979999999996</v>
      </c>
      <c r="N28" s="75">
        <f t="shared" si="21"/>
        <v>11997.877499999997</v>
      </c>
      <c r="O28" s="75">
        <f t="shared" si="21"/>
        <v>12449.5623</v>
      </c>
      <c r="P28" s="75">
        <f t="shared" si="21"/>
        <v>12916.420886249998</v>
      </c>
      <c r="Q28" s="75">
        <f t="shared" si="21"/>
        <v>13398.841425375</v>
      </c>
      <c r="R28" s="75">
        <f t="shared" si="21"/>
        <v>13897.212966196874</v>
      </c>
    </row>
    <row r="29" spans="1:18" x14ac:dyDescent="0.25">
      <c r="A29" s="1"/>
      <c r="B29" s="86" t="s">
        <v>18</v>
      </c>
      <c r="C29" s="87">
        <f t="shared" ref="C29:R29" si="22">C28/C11</f>
        <v>0.44410998292748677</v>
      </c>
      <c r="D29" s="87">
        <f t="shared" si="22"/>
        <v>0.51948166821458586</v>
      </c>
      <c r="E29" s="87">
        <f t="shared" si="22"/>
        <v>0.32987269805957237</v>
      </c>
      <c r="F29" s="87">
        <f t="shared" si="22"/>
        <v>0.34086949130933664</v>
      </c>
      <c r="G29" s="87">
        <f t="shared" si="22"/>
        <v>0.28347136983852705</v>
      </c>
      <c r="H29" s="87">
        <f t="shared" si="22"/>
        <v>0.21957013574660633</v>
      </c>
      <c r="I29" s="88">
        <f t="shared" si="22"/>
        <v>0.3</v>
      </c>
      <c r="J29" s="89">
        <f t="shared" si="22"/>
        <v>0.29199999999999998</v>
      </c>
      <c r="K29" s="89">
        <f t="shared" si="22"/>
        <v>0.30037542037873227</v>
      </c>
      <c r="L29" s="89">
        <f t="shared" si="22"/>
        <v>0.255</v>
      </c>
      <c r="M29" s="89">
        <f t="shared" si="22"/>
        <v>0.25799999999999995</v>
      </c>
      <c r="N29" s="89">
        <f t="shared" si="22"/>
        <v>0.25499999999999995</v>
      </c>
      <c r="O29" s="89">
        <f t="shared" si="22"/>
        <v>0.252</v>
      </c>
      <c r="P29" s="89">
        <f t="shared" si="22"/>
        <v>0.24899999999999997</v>
      </c>
      <c r="Q29" s="89">
        <f t="shared" si="22"/>
        <v>0.246</v>
      </c>
      <c r="R29" s="89">
        <f t="shared" si="22"/>
        <v>0.24299999999999997</v>
      </c>
    </row>
    <row r="30" spans="1:18" x14ac:dyDescent="0.25">
      <c r="A30" s="1"/>
      <c r="B30" s="1"/>
      <c r="C30" s="15"/>
      <c r="D30" s="15"/>
      <c r="E30" s="15"/>
      <c r="F30" s="15"/>
      <c r="G30" s="15"/>
      <c r="H30" s="15"/>
      <c r="I30" s="80"/>
      <c r="J30" s="73"/>
      <c r="K30" s="73"/>
      <c r="L30" s="73"/>
      <c r="M30" s="73"/>
      <c r="N30" s="73"/>
      <c r="O30" s="73"/>
      <c r="P30" s="73"/>
      <c r="Q30" s="73"/>
      <c r="R30" s="73"/>
    </row>
    <row r="31" spans="1:18" x14ac:dyDescent="0.25">
      <c r="A31" s="1"/>
      <c r="B31" s="1" t="s">
        <v>14</v>
      </c>
      <c r="C31" s="12">
        <f t="shared" ref="C31:F31" si="23">C16-C28</f>
        <v>2581</v>
      </c>
      <c r="D31" s="12">
        <f t="shared" si="23"/>
        <v>621</v>
      </c>
      <c r="E31" s="12">
        <f t="shared" si="23"/>
        <v>7667</v>
      </c>
      <c r="F31" s="12">
        <f t="shared" si="23"/>
        <v>6255</v>
      </c>
      <c r="G31" s="12">
        <f>G16-G28</f>
        <v>9789</v>
      </c>
      <c r="H31" s="12">
        <f>H16-H28</f>
        <v>15860</v>
      </c>
      <c r="I31" s="81">
        <f t="shared" ref="I31:R31" si="24">I16-I28</f>
        <v>9489.7079999999987</v>
      </c>
      <c r="J31" s="75">
        <f t="shared" si="24"/>
        <v>10771.649999999998</v>
      </c>
      <c r="K31" s="75">
        <f t="shared" si="24"/>
        <v>10885.651871793898</v>
      </c>
      <c r="L31" s="75">
        <f t="shared" si="24"/>
        <v>13377</v>
      </c>
      <c r="M31" s="75">
        <f t="shared" si="24"/>
        <v>14832.109999999997</v>
      </c>
      <c r="N31" s="75">
        <f t="shared" si="24"/>
        <v>15714.866999999997</v>
      </c>
      <c r="O31" s="75">
        <f t="shared" si="24"/>
        <v>16648.819424999994</v>
      </c>
      <c r="P31" s="75">
        <f t="shared" si="24"/>
        <v>17636.879924999997</v>
      </c>
      <c r="Q31" s="75">
        <f t="shared" si="24"/>
        <v>18682.124426437498</v>
      </c>
      <c r="R31" s="75">
        <f t="shared" si="24"/>
        <v>19787.801178206253</v>
      </c>
    </row>
    <row r="32" spans="1:18" x14ac:dyDescent="0.25">
      <c r="A32" s="1"/>
      <c r="B32" s="1" t="s">
        <v>15</v>
      </c>
      <c r="C32" s="70">
        <v>406</v>
      </c>
      <c r="D32" s="70">
        <v>-229</v>
      </c>
      <c r="E32" s="70">
        <v>-186</v>
      </c>
      <c r="F32" s="69">
        <v>-536</v>
      </c>
      <c r="G32" s="69">
        <v>485</v>
      </c>
      <c r="H32" s="69">
        <v>-862</v>
      </c>
      <c r="I32" s="79">
        <f>I33*I11</f>
        <v>-722.2</v>
      </c>
      <c r="J32" s="74">
        <f t="shared" ref="J32:R32" si="25">J33*J11</f>
        <v>-790</v>
      </c>
      <c r="K32" s="74">
        <f t="shared" si="25"/>
        <v>-803</v>
      </c>
      <c r="L32" s="74">
        <f t="shared" si="25"/>
        <v>-420</v>
      </c>
      <c r="M32" s="74">
        <f t="shared" si="25"/>
        <v>-896.19999999999982</v>
      </c>
      <c r="N32" s="74">
        <f t="shared" si="25"/>
        <v>-941.00999999999988</v>
      </c>
      <c r="O32" s="74">
        <f t="shared" si="25"/>
        <v>-988.06049999999993</v>
      </c>
      <c r="P32" s="74">
        <f t="shared" si="25"/>
        <v>-1037.4635249999999</v>
      </c>
      <c r="Q32" s="74">
        <f t="shared" si="25"/>
        <v>-1089.33670125</v>
      </c>
      <c r="R32" s="74">
        <f t="shared" si="25"/>
        <v>-1143.8035363125</v>
      </c>
    </row>
    <row r="33" spans="1:86" x14ac:dyDescent="0.25">
      <c r="A33" s="1"/>
      <c r="B33" s="86" t="s">
        <v>18</v>
      </c>
      <c r="C33" s="87">
        <f>C32/C11</f>
        <v>1.8240632581543716E-2</v>
      </c>
      <c r="D33" s="87">
        <f t="shared" ref="D33:I33" si="26">D32/D11</f>
        <v>-1.012781389589138E-2</v>
      </c>
      <c r="E33" s="87">
        <f t="shared" si="26"/>
        <v>-7.6628352490421452E-3</v>
      </c>
      <c r="F33" s="87">
        <f t="shared" si="26"/>
        <v>-2.2778462453784371E-2</v>
      </c>
      <c r="G33" s="87">
        <f t="shared" si="26"/>
        <v>1.4449144968122505E-2</v>
      </c>
      <c r="H33" s="87">
        <f t="shared" si="26"/>
        <v>-1.9502262443438913E-2</v>
      </c>
      <c r="I33" s="92">
        <v>-0.02</v>
      </c>
      <c r="J33" s="93">
        <v>-0.02</v>
      </c>
      <c r="K33" s="93">
        <v>-0.02</v>
      </c>
      <c r="L33" s="93">
        <v>-0.01</v>
      </c>
      <c r="M33" s="93">
        <v>-0.02</v>
      </c>
      <c r="N33" s="93">
        <v>-0.02</v>
      </c>
      <c r="O33" s="93">
        <v>-0.02</v>
      </c>
      <c r="P33" s="93">
        <v>-0.02</v>
      </c>
      <c r="Q33" s="93">
        <v>-0.02</v>
      </c>
      <c r="R33" s="93">
        <v>-0.02</v>
      </c>
    </row>
    <row r="34" spans="1:86" x14ac:dyDescent="0.25">
      <c r="A34" s="1"/>
      <c r="B34" s="1"/>
      <c r="C34" s="70"/>
      <c r="D34" s="70"/>
      <c r="E34" s="70"/>
      <c r="F34" s="69"/>
      <c r="G34" s="69"/>
      <c r="H34" s="69"/>
      <c r="I34" s="79"/>
      <c r="J34" s="74"/>
      <c r="K34" s="74"/>
      <c r="L34" s="74"/>
      <c r="M34" s="74"/>
      <c r="N34" s="74"/>
      <c r="O34" s="74"/>
      <c r="P34" s="74"/>
      <c r="Q34" s="74"/>
      <c r="R34" s="74"/>
    </row>
    <row r="35" spans="1:86" x14ac:dyDescent="0.25">
      <c r="A35" s="1"/>
      <c r="B35" s="1" t="s">
        <v>16</v>
      </c>
      <c r="C35" s="12">
        <f t="shared" ref="C35" si="27">C31+C32</f>
        <v>2987</v>
      </c>
      <c r="D35" s="12">
        <f t="shared" ref="D35" si="28">D31+D32</f>
        <v>392</v>
      </c>
      <c r="E35" s="12">
        <f t="shared" ref="E35" si="29">E31+E32</f>
        <v>7481</v>
      </c>
      <c r="F35" s="12">
        <f t="shared" ref="F35" si="30">F31+F32</f>
        <v>5719</v>
      </c>
      <c r="G35" s="12">
        <f t="shared" ref="G35:H35" si="31">G31+G32</f>
        <v>10274</v>
      </c>
      <c r="H35" s="12">
        <f t="shared" si="31"/>
        <v>14998</v>
      </c>
      <c r="I35" s="81">
        <f>I31+I32</f>
        <v>8767.507999999998</v>
      </c>
      <c r="J35" s="75">
        <f t="shared" ref="J35" si="32">J31+J32</f>
        <v>9981.6499999999978</v>
      </c>
      <c r="K35" s="75">
        <f t="shared" ref="K35" si="33">K31+K32</f>
        <v>10082.651871793898</v>
      </c>
      <c r="L35" s="75">
        <f t="shared" ref="L35" si="34">L31+L32</f>
        <v>12957</v>
      </c>
      <c r="M35" s="75">
        <f t="shared" ref="M35" si="35">M31+M32</f>
        <v>13935.909999999996</v>
      </c>
      <c r="N35" s="75">
        <f t="shared" ref="N35" si="36">N31+N32</f>
        <v>14773.856999999996</v>
      </c>
      <c r="O35" s="75">
        <f t="shared" ref="O35" si="37">O31+O32</f>
        <v>15660.758924999995</v>
      </c>
      <c r="P35" s="75">
        <f t="shared" ref="P35" si="38">P31+P32</f>
        <v>16599.416399999998</v>
      </c>
      <c r="Q35" s="75">
        <f t="shared" ref="Q35" si="39">Q31+Q32</f>
        <v>17592.7877251875</v>
      </c>
      <c r="R35" s="75">
        <f t="shared" ref="R35" si="40">R31+R32</f>
        <v>18643.997641893751</v>
      </c>
    </row>
    <row r="36" spans="1:86" x14ac:dyDescent="0.25">
      <c r="A36" s="1"/>
      <c r="B36" s="1"/>
      <c r="C36" s="20"/>
      <c r="D36" s="20"/>
      <c r="E36" s="20"/>
      <c r="F36" s="20"/>
      <c r="G36" s="20"/>
      <c r="H36" s="20"/>
      <c r="I36" s="79"/>
      <c r="J36" s="74"/>
      <c r="K36" s="74"/>
      <c r="L36" s="74"/>
      <c r="M36" s="74"/>
      <c r="N36" s="74"/>
      <c r="O36" s="74"/>
      <c r="P36" s="74"/>
      <c r="Q36" s="74"/>
      <c r="R36" s="74"/>
    </row>
    <row r="37" spans="1:86" x14ac:dyDescent="0.25">
      <c r="A37" s="1"/>
      <c r="B37" s="1" t="s">
        <v>17</v>
      </c>
      <c r="C37" s="12">
        <f t="shared" ref="C37:G37" si="41">C31</f>
        <v>2581</v>
      </c>
      <c r="D37" s="12">
        <f t="shared" si="41"/>
        <v>621</v>
      </c>
      <c r="E37" s="12">
        <f t="shared" si="41"/>
        <v>7667</v>
      </c>
      <c r="F37" s="12">
        <f>F31</f>
        <v>6255</v>
      </c>
      <c r="G37" s="12">
        <f t="shared" si="41"/>
        <v>9789</v>
      </c>
      <c r="H37" s="12">
        <f>H31</f>
        <v>15860</v>
      </c>
      <c r="I37" s="81">
        <f t="shared" ref="I37:R37" si="42">I31</f>
        <v>9489.7079999999987</v>
      </c>
      <c r="J37" s="75">
        <f t="shared" si="42"/>
        <v>10771.649999999998</v>
      </c>
      <c r="K37" s="75">
        <f t="shared" si="42"/>
        <v>10885.651871793898</v>
      </c>
      <c r="L37" s="75">
        <f t="shared" si="42"/>
        <v>13377</v>
      </c>
      <c r="M37" s="75">
        <f t="shared" si="42"/>
        <v>14832.109999999997</v>
      </c>
      <c r="N37" s="75">
        <f t="shared" si="42"/>
        <v>15714.866999999997</v>
      </c>
      <c r="O37" s="75">
        <f t="shared" si="42"/>
        <v>16648.819424999994</v>
      </c>
      <c r="P37" s="75">
        <f t="shared" si="42"/>
        <v>17636.879924999997</v>
      </c>
      <c r="Q37" s="75">
        <f t="shared" si="42"/>
        <v>18682.124426437498</v>
      </c>
      <c r="R37" s="75">
        <f t="shared" si="42"/>
        <v>19787.801178206253</v>
      </c>
    </row>
    <row r="38" spans="1:86" x14ac:dyDescent="0.25">
      <c r="A38" s="1"/>
      <c r="B38" s="86" t="s">
        <v>18</v>
      </c>
      <c r="C38" s="87">
        <f t="shared" ref="C38:I38" si="43">C37/C11</f>
        <v>0.1159583071255279</v>
      </c>
      <c r="D38" s="87">
        <f t="shared" si="43"/>
        <v>2.7464508425102827E-2</v>
      </c>
      <c r="E38" s="87">
        <f t="shared" si="43"/>
        <v>0.31586536480863509</v>
      </c>
      <c r="F38" s="87">
        <f t="shared" si="43"/>
        <v>0.26581955717989036</v>
      </c>
      <c r="G38" s="87">
        <f t="shared" si="43"/>
        <v>0.2916343919442293</v>
      </c>
      <c r="H38" s="87">
        <f t="shared" si="43"/>
        <v>0.35882352941176471</v>
      </c>
      <c r="I38" s="88">
        <f t="shared" si="43"/>
        <v>0.26279999999999998</v>
      </c>
      <c r="J38" s="89">
        <f t="shared" ref="J38:R38" si="44">J37/J11</f>
        <v>0.27269999999999994</v>
      </c>
      <c r="K38" s="89">
        <f t="shared" si="44"/>
        <v>0.27112457962126768</v>
      </c>
      <c r="L38" s="89">
        <f t="shared" si="44"/>
        <v>0.31850000000000001</v>
      </c>
      <c r="M38" s="89">
        <f t="shared" si="44"/>
        <v>0.33099999999999996</v>
      </c>
      <c r="N38" s="89">
        <f t="shared" si="44"/>
        <v>0.33399999999999996</v>
      </c>
      <c r="O38" s="89">
        <f t="shared" si="44"/>
        <v>0.33699999999999991</v>
      </c>
      <c r="P38" s="89">
        <f t="shared" si="44"/>
        <v>0.33999999999999997</v>
      </c>
      <c r="Q38" s="89">
        <f t="shared" si="44"/>
        <v>0.34299999999999997</v>
      </c>
      <c r="R38" s="89">
        <f t="shared" si="44"/>
        <v>0.34600000000000003</v>
      </c>
    </row>
    <row r="39" spans="1:86" x14ac:dyDescent="0.25">
      <c r="A39" s="1"/>
      <c r="B39" s="14"/>
      <c r="C39" s="1"/>
      <c r="D39" s="1"/>
      <c r="F39" s="1"/>
      <c r="G39" s="1"/>
      <c r="H39" s="1"/>
      <c r="I39" s="79"/>
      <c r="J39" s="74"/>
      <c r="K39" s="74"/>
      <c r="L39" s="74"/>
      <c r="M39" s="74"/>
      <c r="N39" s="74"/>
      <c r="O39" s="74"/>
      <c r="P39" s="74"/>
      <c r="Q39" s="74"/>
      <c r="R39" s="74"/>
    </row>
    <row r="40" spans="1:86" x14ac:dyDescent="0.25">
      <c r="A40" s="1"/>
      <c r="B40" s="1" t="s">
        <v>19</v>
      </c>
      <c r="C40" s="12">
        <v>-543</v>
      </c>
      <c r="D40" s="12">
        <v>-5356</v>
      </c>
      <c r="E40" s="21">
        <v>-3095</v>
      </c>
      <c r="F40" s="12">
        <v>-521</v>
      </c>
      <c r="G40" s="12">
        <v>-1231</v>
      </c>
      <c r="H40" s="19">
        <v>-2012</v>
      </c>
      <c r="I40" s="78">
        <f>I41*I37</f>
        <v>-1429.1500248</v>
      </c>
      <c r="J40" s="72">
        <f t="shared" ref="J40:R40" si="45">J41*J37</f>
        <v>-1622.2104899999997</v>
      </c>
      <c r="K40" s="72">
        <f t="shared" si="45"/>
        <v>-1639.3791718921611</v>
      </c>
      <c r="L40" s="72">
        <f t="shared" si="45"/>
        <v>-2014.5762000000002</v>
      </c>
      <c r="M40" s="72">
        <f t="shared" si="45"/>
        <v>-2233.7157659999998</v>
      </c>
      <c r="N40" s="72">
        <f t="shared" si="45"/>
        <v>-2366.6589701999997</v>
      </c>
      <c r="O40" s="72">
        <f t="shared" si="45"/>
        <v>-2507.3122054049995</v>
      </c>
      <c r="P40" s="72">
        <f t="shared" si="45"/>
        <v>-2656.114116705</v>
      </c>
      <c r="Q40" s="72">
        <f t="shared" si="45"/>
        <v>-2813.5279386214875</v>
      </c>
      <c r="R40" s="72">
        <f t="shared" si="45"/>
        <v>-2980.042857437862</v>
      </c>
    </row>
    <row r="41" spans="1:86" x14ac:dyDescent="0.25">
      <c r="A41" s="1"/>
      <c r="B41" s="86" t="s">
        <v>20</v>
      </c>
      <c r="C41" s="94">
        <f>C40/C37</f>
        <v>-0.21038357225881441</v>
      </c>
      <c r="D41" s="94">
        <f t="shared" ref="D41:G41" si="46">D40/D37</f>
        <v>-8.6247987117552327</v>
      </c>
      <c r="E41" s="94">
        <f t="shared" si="46"/>
        <v>-0.40367810095213252</v>
      </c>
      <c r="F41" s="94">
        <f>F40/F37</f>
        <v>-8.3293365307753803E-2</v>
      </c>
      <c r="G41" s="94">
        <f t="shared" si="46"/>
        <v>-0.12575339666973134</v>
      </c>
      <c r="H41" s="94">
        <f>H40/H37</f>
        <v>-0.12686002522068096</v>
      </c>
      <c r="I41" s="95">
        <v>-0.15060000000000001</v>
      </c>
      <c r="J41" s="96">
        <v>-0.15060000000000001</v>
      </c>
      <c r="K41" s="96">
        <v>-0.15060000000000001</v>
      </c>
      <c r="L41" s="96">
        <v>-0.15060000000000001</v>
      </c>
      <c r="M41" s="96">
        <v>-0.15060000000000001</v>
      </c>
      <c r="N41" s="96">
        <v>-0.15060000000000001</v>
      </c>
      <c r="O41" s="96">
        <v>-0.15060000000000001</v>
      </c>
      <c r="P41" s="96">
        <v>-0.15060000000000001</v>
      </c>
      <c r="Q41" s="96">
        <v>-0.15060000000000001</v>
      </c>
      <c r="R41" s="96">
        <v>-0.15060000000000001</v>
      </c>
    </row>
    <row r="42" spans="1:86" x14ac:dyDescent="0.25">
      <c r="A42" s="1"/>
      <c r="B42" s="1"/>
      <c r="C42" s="1"/>
      <c r="D42" s="1"/>
      <c r="E42" s="1"/>
      <c r="F42" s="1"/>
      <c r="G42" s="1"/>
      <c r="H42" s="1"/>
      <c r="I42" s="79"/>
      <c r="J42" s="74"/>
      <c r="K42" s="74"/>
      <c r="L42" s="74"/>
      <c r="M42" s="74"/>
      <c r="N42" s="74"/>
      <c r="O42" s="74"/>
      <c r="P42" s="74"/>
      <c r="Q42" s="74"/>
      <c r="R42" s="74"/>
    </row>
    <row r="43" spans="1:86" x14ac:dyDescent="0.25">
      <c r="A43" s="1"/>
      <c r="B43" s="10" t="s">
        <v>21</v>
      </c>
      <c r="C43" s="10">
        <v>2017</v>
      </c>
      <c r="D43" s="10">
        <f>C43+1</f>
        <v>2018</v>
      </c>
      <c r="E43" s="10">
        <f>D43+1</f>
        <v>2019</v>
      </c>
      <c r="F43" s="10">
        <v>2020</v>
      </c>
      <c r="G43" s="10">
        <v>2021</v>
      </c>
      <c r="H43" s="10">
        <v>2022</v>
      </c>
      <c r="I43" s="82">
        <v>2023</v>
      </c>
      <c r="J43" s="76">
        <v>2024</v>
      </c>
      <c r="K43" s="76">
        <v>2025</v>
      </c>
      <c r="L43" s="76">
        <v>2026</v>
      </c>
      <c r="M43" s="76">
        <v>2027</v>
      </c>
      <c r="N43" s="76">
        <v>2028</v>
      </c>
      <c r="O43" s="76">
        <v>2029</v>
      </c>
      <c r="P43" s="76">
        <v>2030</v>
      </c>
      <c r="Q43" s="76">
        <v>2031</v>
      </c>
      <c r="R43" s="76">
        <v>2032</v>
      </c>
      <c r="S43" s="10">
        <v>2033</v>
      </c>
      <c r="T43" s="10">
        <v>2034</v>
      </c>
      <c r="U43" s="10">
        <v>2035</v>
      </c>
      <c r="V43" s="10">
        <v>2036</v>
      </c>
      <c r="W43" s="10">
        <v>2037</v>
      </c>
      <c r="X43" s="10">
        <v>2038</v>
      </c>
      <c r="Y43" s="10">
        <v>2039</v>
      </c>
      <c r="Z43" s="10">
        <v>2040</v>
      </c>
      <c r="AA43" s="10">
        <v>2041</v>
      </c>
      <c r="AB43" s="10">
        <v>2042</v>
      </c>
      <c r="AC43" s="10">
        <v>2043</v>
      </c>
      <c r="AD43" s="10">
        <v>2044</v>
      </c>
      <c r="AE43" s="10">
        <v>2045</v>
      </c>
      <c r="AF43" s="10">
        <v>2046</v>
      </c>
      <c r="AG43" s="10">
        <v>2047</v>
      </c>
      <c r="AH43" s="10">
        <v>2048</v>
      </c>
      <c r="AI43" s="10">
        <v>2049</v>
      </c>
      <c r="AJ43" s="10">
        <v>2050</v>
      </c>
      <c r="AK43" s="10">
        <v>2051</v>
      </c>
      <c r="AL43" s="10">
        <v>2052</v>
      </c>
      <c r="AM43" s="10">
        <v>2053</v>
      </c>
      <c r="AN43" s="10">
        <v>2054</v>
      </c>
      <c r="AO43" s="10">
        <v>2055</v>
      </c>
      <c r="AP43" s="10">
        <v>2056</v>
      </c>
      <c r="AQ43" s="10">
        <v>2057</v>
      </c>
      <c r="AR43" s="10">
        <v>2058</v>
      </c>
      <c r="AS43" s="10">
        <v>2059</v>
      </c>
      <c r="AT43" s="10">
        <v>2060</v>
      </c>
      <c r="AU43" s="10">
        <v>2061</v>
      </c>
      <c r="AV43" s="10">
        <v>2062</v>
      </c>
      <c r="AW43" s="10">
        <v>2063</v>
      </c>
      <c r="AX43" s="10">
        <v>2064</v>
      </c>
      <c r="AY43" s="10">
        <v>2065</v>
      </c>
      <c r="AZ43" s="10">
        <v>2066</v>
      </c>
      <c r="BA43" s="10">
        <v>2067</v>
      </c>
      <c r="BB43" s="10">
        <v>2068</v>
      </c>
      <c r="BC43" s="10">
        <v>2069</v>
      </c>
      <c r="BD43" s="10">
        <v>2070</v>
      </c>
      <c r="BE43" s="10">
        <v>2071</v>
      </c>
      <c r="BF43" s="10">
        <v>2072</v>
      </c>
      <c r="BG43" s="10">
        <v>2073</v>
      </c>
      <c r="BH43" s="10">
        <v>2074</v>
      </c>
      <c r="BI43" s="10">
        <v>2075</v>
      </c>
      <c r="BJ43" s="10">
        <v>2076</v>
      </c>
      <c r="BK43" s="10">
        <v>2077</v>
      </c>
      <c r="BL43" s="10">
        <v>2078</v>
      </c>
      <c r="BM43" s="10">
        <v>2079</v>
      </c>
      <c r="BN43" s="10">
        <v>2080</v>
      </c>
      <c r="BO43" s="10">
        <v>2081</v>
      </c>
      <c r="BP43" s="10">
        <v>2082</v>
      </c>
      <c r="BQ43" s="10">
        <v>2083</v>
      </c>
      <c r="BR43" s="10">
        <v>2084</v>
      </c>
      <c r="BS43" s="10">
        <v>2085</v>
      </c>
      <c r="BT43" s="10">
        <v>2086</v>
      </c>
      <c r="BU43" s="10">
        <v>2087</v>
      </c>
      <c r="BV43" s="10">
        <v>2088</v>
      </c>
      <c r="BW43" s="10">
        <v>2089</v>
      </c>
      <c r="BX43" s="10">
        <v>2090</v>
      </c>
      <c r="BY43" s="10">
        <v>2091</v>
      </c>
      <c r="BZ43" s="10">
        <v>2092</v>
      </c>
      <c r="CA43" s="10">
        <v>2093</v>
      </c>
      <c r="CB43" s="10">
        <v>2094</v>
      </c>
      <c r="CC43" s="10">
        <v>2095</v>
      </c>
      <c r="CD43" s="10">
        <v>2096</v>
      </c>
      <c r="CE43" s="10">
        <v>2097</v>
      </c>
      <c r="CF43" s="10">
        <v>2098</v>
      </c>
      <c r="CG43" s="10">
        <v>2099</v>
      </c>
      <c r="CH43" s="10">
        <v>2100</v>
      </c>
    </row>
    <row r="44" spans="1:86" x14ac:dyDescent="0.25">
      <c r="A44" s="1"/>
      <c r="B44" s="1" t="s">
        <v>22</v>
      </c>
      <c r="C44" s="12">
        <v>1461</v>
      </c>
      <c r="D44" s="12">
        <v>1561</v>
      </c>
      <c r="E44" s="21">
        <v>1401</v>
      </c>
      <c r="F44" s="12">
        <v>1393</v>
      </c>
      <c r="G44" s="12">
        <v>1582</v>
      </c>
      <c r="H44" s="12">
        <v>1762</v>
      </c>
      <c r="I44" s="78">
        <f>I45*I11</f>
        <v>1700</v>
      </c>
      <c r="J44" s="72">
        <f t="shared" ref="J44:M44" si="47">J45*J11</f>
        <v>1710</v>
      </c>
      <c r="K44" s="72">
        <f t="shared" si="47"/>
        <v>1730</v>
      </c>
      <c r="L44" s="72">
        <f t="shared" si="47"/>
        <v>1440</v>
      </c>
      <c r="M44" s="72">
        <f t="shared" si="47"/>
        <v>1360</v>
      </c>
      <c r="N44" s="72">
        <f t="shared" ref="I44:R44" si="48">N45*N11</f>
        <v>1411.5149999999996</v>
      </c>
      <c r="O44" s="72">
        <f t="shared" si="48"/>
        <v>1482.0907499999998</v>
      </c>
      <c r="P44" s="72">
        <f t="shared" si="48"/>
        <v>1556.1952874999999</v>
      </c>
      <c r="Q44" s="72">
        <f t="shared" si="48"/>
        <v>1634.0050518749999</v>
      </c>
      <c r="R44" s="72">
        <f t="shared" si="48"/>
        <v>1715.70530446875</v>
      </c>
    </row>
    <row r="45" spans="1:86" x14ac:dyDescent="0.25">
      <c r="A45" s="1"/>
      <c r="B45" s="86" t="s">
        <v>18</v>
      </c>
      <c r="C45" s="87">
        <f t="shared" ref="C45:M45" si="49">C44/C11</f>
        <v>6.5639320693683167E-2</v>
      </c>
      <c r="D45" s="87">
        <f t="shared" si="49"/>
        <v>6.903719428596701E-2</v>
      </c>
      <c r="E45" s="87">
        <f t="shared" si="49"/>
        <v>5.7718452601656159E-2</v>
      </c>
      <c r="F45" s="87">
        <f t="shared" si="49"/>
        <v>5.9198504100973187E-2</v>
      </c>
      <c r="G45" s="87">
        <f t="shared" si="49"/>
        <v>4.7131025442411961E-2</v>
      </c>
      <c r="H45" s="87">
        <f t="shared" si="49"/>
        <v>3.9864253393665158E-2</v>
      </c>
      <c r="I45" s="88">
        <v>4.7078371642204374E-2</v>
      </c>
      <c r="J45" s="89">
        <v>4.3291139240506329E-2</v>
      </c>
      <c r="K45" s="89">
        <v>4.3088418430884186E-2</v>
      </c>
      <c r="L45" s="89">
        <v>3.4285714285714287E-2</v>
      </c>
      <c r="M45" s="89">
        <v>3.0350368221379161E-2</v>
      </c>
      <c r="N45" s="89">
        <v>0.03</v>
      </c>
      <c r="O45" s="89">
        <v>0.03</v>
      </c>
      <c r="P45" s="89">
        <v>0.03</v>
      </c>
      <c r="Q45" s="89">
        <v>0.03</v>
      </c>
      <c r="R45" s="89">
        <v>0.03</v>
      </c>
    </row>
    <row r="46" spans="1:86" x14ac:dyDescent="0.25">
      <c r="A46" s="1"/>
      <c r="B46" s="1"/>
      <c r="C46" s="1"/>
      <c r="D46" s="1"/>
      <c r="F46" s="1"/>
      <c r="G46" s="1"/>
      <c r="H46" s="1"/>
      <c r="I46" s="79"/>
      <c r="J46" s="74"/>
      <c r="K46" s="74"/>
      <c r="L46" s="74"/>
      <c r="M46" s="74"/>
      <c r="N46" s="74"/>
      <c r="O46" s="74"/>
      <c r="P46" s="74"/>
      <c r="Q46" s="74"/>
      <c r="R46" s="74"/>
    </row>
    <row r="47" spans="1:86" x14ac:dyDescent="0.25">
      <c r="A47" s="1"/>
      <c r="B47" s="1" t="s">
        <v>23</v>
      </c>
      <c r="C47" s="12">
        <v>-690</v>
      </c>
      <c r="D47" s="12">
        <v>-784</v>
      </c>
      <c r="E47" s="21">
        <v>-887</v>
      </c>
      <c r="F47" s="12">
        <v>-1407</v>
      </c>
      <c r="G47" s="12">
        <v>-1888</v>
      </c>
      <c r="H47" s="12">
        <v>-2262</v>
      </c>
      <c r="I47" s="78">
        <f>I48*I11</f>
        <v>-1710</v>
      </c>
      <c r="J47" s="72">
        <f t="shared" ref="J47:R47" si="50">J48*J11</f>
        <v>-1800</v>
      </c>
      <c r="K47" s="72">
        <f t="shared" si="50"/>
        <v>-1830</v>
      </c>
      <c r="L47" s="72">
        <f t="shared" si="50"/>
        <v>-1470.0000000000002</v>
      </c>
      <c r="M47" s="72">
        <f t="shared" si="50"/>
        <v>-1520</v>
      </c>
      <c r="N47" s="72">
        <f t="shared" si="50"/>
        <v>-1552.6664999999998</v>
      </c>
      <c r="O47" s="72">
        <f t="shared" si="50"/>
        <v>-1630.2998249999998</v>
      </c>
      <c r="P47" s="72">
        <f t="shared" si="50"/>
        <v>-1711.8148162499999</v>
      </c>
      <c r="Q47" s="72">
        <f t="shared" si="50"/>
        <v>-1797.4055570625001</v>
      </c>
      <c r="R47" s="72">
        <f t="shared" si="50"/>
        <v>-1887.2758349156252</v>
      </c>
    </row>
    <row r="48" spans="1:86" x14ac:dyDescent="0.25">
      <c r="A48" s="1"/>
      <c r="B48" s="86" t="s">
        <v>18</v>
      </c>
      <c r="C48" s="87">
        <f t="shared" ref="C48:M48" si="51">C47/C11</f>
        <v>-3.1000089855332914E-2</v>
      </c>
      <c r="D48" s="87">
        <f t="shared" si="51"/>
        <v>-3.467338905842289E-2</v>
      </c>
      <c r="E48" s="87">
        <f t="shared" si="51"/>
        <v>-3.65426605693569E-2</v>
      </c>
      <c r="F48" s="87">
        <f t="shared" si="51"/>
        <v>-5.9793463941183969E-2</v>
      </c>
      <c r="G48" s="87">
        <f t="shared" si="51"/>
        <v>-5.6247393195495439E-2</v>
      </c>
      <c r="H48" s="87">
        <f t="shared" si="51"/>
        <v>-5.1176470588235295E-2</v>
      </c>
      <c r="I48" s="88">
        <v>-4.7355303240099698E-2</v>
      </c>
      <c r="J48" s="89">
        <v>-4.5569620253164557E-2</v>
      </c>
      <c r="K48" s="89">
        <v>-4.5579078455790782E-2</v>
      </c>
      <c r="L48" s="89">
        <v>-3.5000000000000003E-2</v>
      </c>
      <c r="M48" s="89">
        <v>-3.3920999776835534E-2</v>
      </c>
      <c r="N48" s="89">
        <v>-3.3000000000000002E-2</v>
      </c>
      <c r="O48" s="89">
        <v>-3.3000000000000002E-2</v>
      </c>
      <c r="P48" s="89">
        <v>-3.3000000000000002E-2</v>
      </c>
      <c r="Q48" s="89">
        <v>-3.3000000000000002E-2</v>
      </c>
      <c r="R48" s="89">
        <v>-3.3000000000000002E-2</v>
      </c>
    </row>
    <row r="49" spans="1:86" x14ac:dyDescent="0.25">
      <c r="A49" s="1"/>
      <c r="B49" s="1"/>
      <c r="C49" s="1"/>
      <c r="D49" s="1"/>
      <c r="F49" s="1"/>
      <c r="G49" s="1"/>
      <c r="H49" s="1"/>
      <c r="I49" s="79"/>
      <c r="J49" s="74"/>
      <c r="K49" s="74"/>
      <c r="L49" s="74"/>
      <c r="M49" s="74"/>
      <c r="N49" s="74"/>
      <c r="O49" s="74"/>
      <c r="P49" s="74"/>
      <c r="Q49" s="74"/>
      <c r="R49" s="74"/>
    </row>
    <row r="50" spans="1:86" x14ac:dyDescent="0.25">
      <c r="A50" s="1"/>
      <c r="B50" s="1" t="s">
        <v>24</v>
      </c>
      <c r="C50" s="1">
        <v>897</v>
      </c>
      <c r="D50" s="1">
        <v>1772</v>
      </c>
      <c r="E50" s="2">
        <v>-1224</v>
      </c>
      <c r="F50" s="35">
        <v>-1607</v>
      </c>
      <c r="G50" s="35">
        <v>-461</v>
      </c>
      <c r="H50" s="35">
        <v>-7800</v>
      </c>
      <c r="I50" s="78">
        <f t="shared" ref="I50:R50" si="52">I51*I11</f>
        <v>-361.1</v>
      </c>
      <c r="J50" s="72">
        <f t="shared" si="52"/>
        <v>-395</v>
      </c>
      <c r="K50" s="72">
        <f t="shared" si="52"/>
        <v>-401.5</v>
      </c>
      <c r="L50" s="72">
        <f t="shared" si="52"/>
        <v>-210</v>
      </c>
      <c r="M50" s="72">
        <f t="shared" si="52"/>
        <v>0</v>
      </c>
      <c r="N50" s="72">
        <f t="shared" si="52"/>
        <v>235.25249999999997</v>
      </c>
      <c r="O50" s="72">
        <f t="shared" si="52"/>
        <v>494.03024999999997</v>
      </c>
      <c r="P50" s="72">
        <f t="shared" si="52"/>
        <v>778.09764374999997</v>
      </c>
      <c r="Q50" s="72">
        <f t="shared" si="52"/>
        <v>817.00252593749997</v>
      </c>
      <c r="R50" s="72">
        <f t="shared" si="52"/>
        <v>1143.8035363125</v>
      </c>
    </row>
    <row r="51" spans="1:86" x14ac:dyDescent="0.25">
      <c r="A51" s="1"/>
      <c r="B51" s="86" t="s">
        <v>18</v>
      </c>
      <c r="C51" s="87">
        <f t="shared" ref="C51:H51" si="53">C50/C11</f>
        <v>4.0300116811932789E-2</v>
      </c>
      <c r="D51" s="87">
        <f t="shared" si="53"/>
        <v>7.8368935473884391E-2</v>
      </c>
      <c r="E51" s="87">
        <f t="shared" si="53"/>
        <v>-5.042639970337412E-2</v>
      </c>
      <c r="F51" s="87">
        <f t="shared" si="53"/>
        <v>-6.8292890229909475E-2</v>
      </c>
      <c r="G51" s="87">
        <f t="shared" si="53"/>
        <v>-1.3734135732586547E-2</v>
      </c>
      <c r="H51" s="87">
        <f t="shared" si="53"/>
        <v>-0.17647058823529413</v>
      </c>
      <c r="I51" s="97">
        <v>-0.01</v>
      </c>
      <c r="J51" s="98">
        <v>-0.01</v>
      </c>
      <c r="K51" s="98">
        <v>-0.01</v>
      </c>
      <c r="L51" s="98">
        <v>-5.0000000000000001E-3</v>
      </c>
      <c r="M51" s="98">
        <v>0</v>
      </c>
      <c r="N51" s="98">
        <v>5.0000000000000001E-3</v>
      </c>
      <c r="O51" s="98">
        <v>0.01</v>
      </c>
      <c r="P51" s="98">
        <v>1.4999999999999999E-2</v>
      </c>
      <c r="Q51" s="98">
        <v>1.4999999999999999E-2</v>
      </c>
      <c r="R51" s="98">
        <v>0.02</v>
      </c>
    </row>
    <row r="52" spans="1:86" x14ac:dyDescent="0.25">
      <c r="A52" s="1"/>
      <c r="B52" s="1"/>
      <c r="C52" s="1"/>
      <c r="D52" s="1"/>
      <c r="E52" s="1"/>
      <c r="F52" s="1"/>
      <c r="G52" s="1"/>
      <c r="H52" s="1"/>
      <c r="I52" s="79"/>
      <c r="J52" s="74"/>
      <c r="K52" s="74"/>
      <c r="L52" s="74"/>
      <c r="M52" s="74"/>
      <c r="N52" s="74"/>
      <c r="O52" s="74"/>
      <c r="P52" s="74"/>
      <c r="Q52" s="74"/>
      <c r="R52" s="74"/>
    </row>
    <row r="53" spans="1:86" x14ac:dyDescent="0.25">
      <c r="A53" s="1"/>
      <c r="B53" s="10" t="s">
        <v>25</v>
      </c>
      <c r="C53" s="12">
        <f t="shared" ref="C53:G53" si="54">C37+C40</f>
        <v>2038</v>
      </c>
      <c r="D53" s="12">
        <f t="shared" si="54"/>
        <v>-4735</v>
      </c>
      <c r="E53" s="12">
        <f t="shared" si="54"/>
        <v>4572</v>
      </c>
      <c r="F53" s="12">
        <f t="shared" si="54"/>
        <v>5734</v>
      </c>
      <c r="G53" s="12">
        <f t="shared" si="54"/>
        <v>8558</v>
      </c>
      <c r="H53" s="12">
        <f>H37+H40</f>
        <v>13848</v>
      </c>
      <c r="I53" s="81">
        <f>I37+I40</f>
        <v>8060.5579751999985</v>
      </c>
      <c r="J53" s="75">
        <f t="shared" ref="J53:R53" si="55">J37+J40</f>
        <v>9149.4395099999983</v>
      </c>
      <c r="K53" s="75">
        <f t="shared" si="55"/>
        <v>9246.2726999017359</v>
      </c>
      <c r="L53" s="75">
        <f t="shared" si="55"/>
        <v>11362.4238</v>
      </c>
      <c r="M53" s="75">
        <f t="shared" si="55"/>
        <v>12598.394233999998</v>
      </c>
      <c r="N53" s="75">
        <f t="shared" si="55"/>
        <v>13348.208029799996</v>
      </c>
      <c r="O53" s="75">
        <f t="shared" si="55"/>
        <v>14141.507219594994</v>
      </c>
      <c r="P53" s="75">
        <f t="shared" si="55"/>
        <v>14980.765808294997</v>
      </c>
      <c r="Q53" s="75">
        <f t="shared" si="55"/>
        <v>15868.59648781601</v>
      </c>
      <c r="R53" s="75">
        <f t="shared" si="55"/>
        <v>16807.758320768393</v>
      </c>
    </row>
    <row r="54" spans="1:86" x14ac:dyDescent="0.25">
      <c r="A54" s="1"/>
      <c r="B54" s="10" t="s">
        <v>56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-50</v>
      </c>
      <c r="I54" s="81"/>
      <c r="J54" s="75"/>
      <c r="K54" s="75"/>
      <c r="L54" s="75"/>
      <c r="M54" s="75"/>
      <c r="N54" s="75"/>
      <c r="O54" s="75"/>
      <c r="P54" s="75"/>
      <c r="Q54" s="75"/>
      <c r="R54" s="75"/>
    </row>
    <row r="55" spans="1:86" x14ac:dyDescent="0.25">
      <c r="A55" s="1"/>
      <c r="B55" s="10" t="s">
        <v>26</v>
      </c>
      <c r="C55" s="12">
        <f t="shared" ref="C55:G55" si="56">C35+C40+C54</f>
        <v>2444</v>
      </c>
      <c r="D55" s="12">
        <f t="shared" si="56"/>
        <v>-4964</v>
      </c>
      <c r="E55" s="12">
        <f t="shared" si="56"/>
        <v>4386</v>
      </c>
      <c r="F55" s="12">
        <f t="shared" si="56"/>
        <v>5198</v>
      </c>
      <c r="G55" s="12">
        <f t="shared" si="56"/>
        <v>9043</v>
      </c>
      <c r="H55" s="12">
        <f>H35+H40+H54</f>
        <v>12936</v>
      </c>
      <c r="I55" s="81">
        <f>I35+I40+I54</f>
        <v>7338.3579751999978</v>
      </c>
      <c r="J55" s="75">
        <f t="shared" ref="I55:R55" si="57">J35+J40+J54</f>
        <v>8359.4395099999983</v>
      </c>
      <c r="K55" s="75">
        <f t="shared" si="57"/>
        <v>8443.2726999017359</v>
      </c>
      <c r="L55" s="75">
        <f t="shared" si="57"/>
        <v>10942.4238</v>
      </c>
      <c r="M55" s="75">
        <f t="shared" si="57"/>
        <v>11702.194233999997</v>
      </c>
      <c r="N55" s="75">
        <f t="shared" si="57"/>
        <v>12407.198029799996</v>
      </c>
      <c r="O55" s="75">
        <f t="shared" si="57"/>
        <v>13153.446719594995</v>
      </c>
      <c r="P55" s="75">
        <f t="shared" si="57"/>
        <v>13943.302283294997</v>
      </c>
      <c r="Q55" s="75">
        <f t="shared" si="57"/>
        <v>14779.259786566012</v>
      </c>
      <c r="R55" s="75">
        <f t="shared" si="57"/>
        <v>15663.954784455889</v>
      </c>
      <c r="S55" s="60">
        <f>R55*(1+$E$6)</f>
        <v>16133.873427989567</v>
      </c>
      <c r="T55" s="60">
        <f t="shared" ref="T55:CE55" si="58">S55*(1+$E$6)</f>
        <v>16617.889630829253</v>
      </c>
      <c r="U55" s="60">
        <f t="shared" si="58"/>
        <v>17116.426319754133</v>
      </c>
      <c r="V55" s="60">
        <f t="shared" si="58"/>
        <v>17629.919109346756</v>
      </c>
      <c r="W55" s="60">
        <f t="shared" si="58"/>
        <v>18158.816682627159</v>
      </c>
      <c r="X55" s="60">
        <f t="shared" si="58"/>
        <v>18703.581183105973</v>
      </c>
      <c r="Y55" s="60">
        <f t="shared" si="58"/>
        <v>19264.688618599153</v>
      </c>
      <c r="Z55" s="60">
        <f t="shared" si="58"/>
        <v>19842.629277157128</v>
      </c>
      <c r="AA55" s="60">
        <f t="shared" si="58"/>
        <v>20437.908155471843</v>
      </c>
      <c r="AB55" s="60">
        <f t="shared" si="58"/>
        <v>21051.045400135998</v>
      </c>
      <c r="AC55" s="60">
        <f t="shared" si="58"/>
        <v>21682.576762140077</v>
      </c>
      <c r="AD55" s="60">
        <f t="shared" si="58"/>
        <v>22333.054065004279</v>
      </c>
      <c r="AE55" s="60">
        <f t="shared" si="58"/>
        <v>23003.045686954407</v>
      </c>
      <c r="AF55" s="60">
        <f t="shared" si="58"/>
        <v>23693.137057563039</v>
      </c>
      <c r="AG55" s="60">
        <f t="shared" si="58"/>
        <v>24403.931169289932</v>
      </c>
      <c r="AH55" s="60">
        <f t="shared" si="58"/>
        <v>25136.049104368631</v>
      </c>
      <c r="AI55" s="60">
        <f t="shared" si="58"/>
        <v>25890.130577499691</v>
      </c>
      <c r="AJ55" s="60">
        <f t="shared" si="58"/>
        <v>26666.834494824681</v>
      </c>
      <c r="AK55" s="60">
        <f t="shared" si="58"/>
        <v>27466.839529669422</v>
      </c>
      <c r="AL55" s="60">
        <f t="shared" si="58"/>
        <v>28290.844715559506</v>
      </c>
      <c r="AM55" s="60">
        <f t="shared" si="58"/>
        <v>29139.570057026292</v>
      </c>
      <c r="AN55" s="60">
        <f t="shared" si="58"/>
        <v>30013.75715873708</v>
      </c>
      <c r="AO55" s="60">
        <f t="shared" si="58"/>
        <v>30914.169873499195</v>
      </c>
      <c r="AP55" s="60">
        <f t="shared" si="58"/>
        <v>31841.594969704172</v>
      </c>
      <c r="AQ55" s="60">
        <f t="shared" si="58"/>
        <v>32796.842818795296</v>
      </c>
      <c r="AR55" s="60">
        <f t="shared" si="58"/>
        <v>33780.748103359154</v>
      </c>
      <c r="AS55" s="60">
        <f t="shared" si="58"/>
        <v>34794.170546459929</v>
      </c>
      <c r="AT55" s="60">
        <f t="shared" si="58"/>
        <v>35837.995662853726</v>
      </c>
      <c r="AU55" s="60">
        <f t="shared" si="58"/>
        <v>36913.135532739339</v>
      </c>
      <c r="AV55" s="60">
        <f t="shared" si="58"/>
        <v>38020.529598721521</v>
      </c>
      <c r="AW55" s="60">
        <f t="shared" si="58"/>
        <v>39161.14548668317</v>
      </c>
      <c r="AX55" s="60">
        <f t="shared" si="58"/>
        <v>40335.979851283664</v>
      </c>
      <c r="AY55" s="60">
        <f t="shared" si="58"/>
        <v>41546.059246822173</v>
      </c>
      <c r="AZ55" s="60">
        <f t="shared" si="58"/>
        <v>42792.441024226842</v>
      </c>
      <c r="BA55" s="60">
        <f t="shared" si="58"/>
        <v>44076.214254953651</v>
      </c>
      <c r="BB55" s="60">
        <f t="shared" si="58"/>
        <v>45398.500682602265</v>
      </c>
      <c r="BC55" s="60">
        <f t="shared" si="58"/>
        <v>46760.455703080333</v>
      </c>
      <c r="BD55" s="60">
        <f t="shared" si="58"/>
        <v>48163.269374172742</v>
      </c>
      <c r="BE55" s="60">
        <f t="shared" si="58"/>
        <v>49608.167455397925</v>
      </c>
      <c r="BF55" s="60">
        <f t="shared" si="58"/>
        <v>51096.412479059865</v>
      </c>
      <c r="BG55" s="60">
        <f t="shared" si="58"/>
        <v>52629.304853431662</v>
      </c>
      <c r="BH55" s="60">
        <f t="shared" si="58"/>
        <v>54208.183999034612</v>
      </c>
      <c r="BI55" s="60">
        <f t="shared" si="58"/>
        <v>55834.429519005651</v>
      </c>
      <c r="BJ55" s="60">
        <f t="shared" si="58"/>
        <v>57509.462404575825</v>
      </c>
      <c r="BK55" s="60">
        <f t="shared" si="58"/>
        <v>59234.7462767131</v>
      </c>
      <c r="BL55" s="60">
        <f t="shared" si="58"/>
        <v>61011.788665014494</v>
      </c>
      <c r="BM55" s="60">
        <f t="shared" si="58"/>
        <v>62842.142324964931</v>
      </c>
      <c r="BN55" s="60">
        <f t="shared" si="58"/>
        <v>64727.406594713881</v>
      </c>
      <c r="BO55" s="60">
        <f t="shared" si="58"/>
        <v>66669.228792555296</v>
      </c>
      <c r="BP55" s="60">
        <f t="shared" si="58"/>
        <v>68669.305656331955</v>
      </c>
      <c r="BQ55" s="60">
        <f t="shared" si="58"/>
        <v>70729.384826021909</v>
      </c>
      <c r="BR55" s="60">
        <f t="shared" si="58"/>
        <v>72851.266370802565</v>
      </c>
      <c r="BS55" s="60">
        <f t="shared" si="58"/>
        <v>75036.804361926639</v>
      </c>
      <c r="BT55" s="60">
        <f t="shared" si="58"/>
        <v>77287.908492784438</v>
      </c>
      <c r="BU55" s="60">
        <f t="shared" si="58"/>
        <v>79606.545747567972</v>
      </c>
      <c r="BV55" s="60">
        <f t="shared" si="58"/>
        <v>81994.742119995019</v>
      </c>
      <c r="BW55" s="60">
        <f t="shared" si="58"/>
        <v>84454.584383594876</v>
      </c>
      <c r="BX55" s="60">
        <f t="shared" si="58"/>
        <v>86988.221915102724</v>
      </c>
      <c r="BY55" s="60">
        <f t="shared" si="58"/>
        <v>89597.868572555803</v>
      </c>
      <c r="BZ55" s="60">
        <f t="shared" si="58"/>
        <v>92285.804629732476</v>
      </c>
      <c r="CA55" s="60">
        <f t="shared" si="58"/>
        <v>95054.378768624447</v>
      </c>
      <c r="CB55" s="60">
        <f t="shared" si="58"/>
        <v>97906.010131683186</v>
      </c>
      <c r="CC55" s="60">
        <f t="shared" si="58"/>
        <v>100843.19043563369</v>
      </c>
      <c r="CD55" s="60">
        <f t="shared" si="58"/>
        <v>103868.48614870271</v>
      </c>
      <c r="CE55" s="60">
        <f t="shared" si="58"/>
        <v>106984.5407331638</v>
      </c>
      <c r="CF55" s="60">
        <f t="shared" ref="CF55:CH55" si="59">CE55*(1+$E$6)</f>
        <v>110194.07695515871</v>
      </c>
      <c r="CG55" s="60">
        <f t="shared" si="59"/>
        <v>113499.89926381348</v>
      </c>
      <c r="CH55" s="60">
        <f t="shared" si="59"/>
        <v>116904.89624172788</v>
      </c>
    </row>
    <row r="56" spans="1:86" x14ac:dyDescent="0.25">
      <c r="A56" s="1"/>
      <c r="B56" s="6"/>
      <c r="C56" s="20"/>
      <c r="D56" s="20"/>
      <c r="E56" s="20"/>
      <c r="F56" s="20"/>
      <c r="G56" s="20"/>
      <c r="H56" s="20"/>
      <c r="I56" s="79"/>
      <c r="J56" s="74"/>
      <c r="K56" s="74"/>
      <c r="L56" s="74"/>
      <c r="M56" s="74"/>
      <c r="N56" s="74"/>
      <c r="O56" s="74"/>
      <c r="P56" s="74"/>
      <c r="Q56" s="74"/>
      <c r="R56" s="74"/>
    </row>
    <row r="57" spans="1:86" x14ac:dyDescent="0.25">
      <c r="A57" s="1"/>
      <c r="B57" s="10" t="s">
        <v>27</v>
      </c>
      <c r="C57" s="22">
        <f t="shared" ref="C57:R57" si="60">C53+C44+C47-C50</f>
        <v>1912</v>
      </c>
      <c r="D57" s="22">
        <f t="shared" si="60"/>
        <v>-5730</v>
      </c>
      <c r="E57" s="22">
        <f t="shared" si="60"/>
        <v>6310</v>
      </c>
      <c r="F57" s="22">
        <f t="shared" si="60"/>
        <v>7327</v>
      </c>
      <c r="G57" s="22">
        <f t="shared" si="60"/>
        <v>8713</v>
      </c>
      <c r="H57" s="22">
        <f t="shared" si="60"/>
        <v>21148</v>
      </c>
      <c r="I57" s="83">
        <f t="shared" si="60"/>
        <v>8411.657975199998</v>
      </c>
      <c r="J57" s="77">
        <f t="shared" si="60"/>
        <v>9454.4395099999983</v>
      </c>
      <c r="K57" s="77">
        <f t="shared" si="60"/>
        <v>9547.7726999017359</v>
      </c>
      <c r="L57" s="77">
        <f t="shared" si="60"/>
        <v>11542.4238</v>
      </c>
      <c r="M57" s="77">
        <f t="shared" si="60"/>
        <v>12438.394233999998</v>
      </c>
      <c r="N57" s="77">
        <f t="shared" si="60"/>
        <v>12971.804029799996</v>
      </c>
      <c r="O57" s="77">
        <f t="shared" si="60"/>
        <v>13499.267894594994</v>
      </c>
      <c r="P57" s="77">
        <f t="shared" si="60"/>
        <v>14047.048635794996</v>
      </c>
      <c r="Q57" s="77">
        <f t="shared" si="60"/>
        <v>14888.193456691011</v>
      </c>
      <c r="R57" s="77">
        <f t="shared" si="60"/>
        <v>15492.384254009017</v>
      </c>
    </row>
    <row r="58" spans="1:86" x14ac:dyDescent="0.25">
      <c r="A58" s="1"/>
      <c r="B58" s="23" t="s">
        <v>28</v>
      </c>
      <c r="C58" s="1"/>
      <c r="D58" s="1"/>
      <c r="E58" s="1"/>
      <c r="F58" s="1"/>
      <c r="G58" s="1"/>
      <c r="H58" s="1"/>
      <c r="I58" s="63">
        <f t="shared" ref="I58:R58" si="61">I57/((1+$E$5)^I9)</f>
        <v>7582.9770234626021</v>
      </c>
      <c r="J58" s="61">
        <f t="shared" si="61"/>
        <v>7683.3754652222669</v>
      </c>
      <c r="K58" s="61">
        <f t="shared" si="61"/>
        <v>6994.8188988278444</v>
      </c>
      <c r="L58" s="61">
        <f t="shared" si="61"/>
        <v>7623.0637900833481</v>
      </c>
      <c r="M58" s="61">
        <f t="shared" si="61"/>
        <v>7405.5102933916633</v>
      </c>
      <c r="N58" s="61">
        <f t="shared" si="61"/>
        <v>6962.2431371872344</v>
      </c>
      <c r="O58" s="61">
        <f t="shared" si="61"/>
        <v>6531.5635579001055</v>
      </c>
      <c r="P58" s="61">
        <f t="shared" si="61"/>
        <v>6127.032186701812</v>
      </c>
      <c r="Q58" s="61">
        <f t="shared" si="61"/>
        <v>5854.1684322519122</v>
      </c>
      <c r="R58" s="61">
        <f t="shared" si="61"/>
        <v>5491.6089577051644</v>
      </c>
    </row>
    <row r="59" spans="1:86" x14ac:dyDescent="0.25">
      <c r="A59" s="1"/>
      <c r="B59" s="24"/>
      <c r="C59" s="24"/>
      <c r="D59" s="24"/>
      <c r="E59" s="24"/>
      <c r="F59" s="24"/>
      <c r="G59" s="24"/>
      <c r="H59" s="24"/>
      <c r="I59" s="16"/>
      <c r="J59" s="1"/>
      <c r="K59" s="1"/>
      <c r="L59" s="1"/>
      <c r="M59" s="1"/>
      <c r="N59" s="1"/>
      <c r="O59" s="1"/>
      <c r="P59" s="1"/>
      <c r="Q59" s="1"/>
      <c r="R59" s="1"/>
    </row>
    <row r="60" spans="1:86" x14ac:dyDescent="0.25">
      <c r="A60" s="1"/>
      <c r="B60" s="1" t="s">
        <v>29</v>
      </c>
      <c r="C60" s="25">
        <f>(R57*(1+$E$6))/($E$5-$E$6)</f>
        <v>201271.50378187312</v>
      </c>
      <c r="D60" s="1"/>
      <c r="E60" s="1" t="s">
        <v>30</v>
      </c>
      <c r="F60" s="19">
        <f>NPV($E$5,I55:CH55)</f>
        <v>135926.83513916709</v>
      </c>
      <c r="G60" s="1"/>
      <c r="H60" s="1"/>
      <c r="I60" s="16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3" t="s">
        <v>31</v>
      </c>
      <c r="C61" s="26">
        <f>C60/((1+$E$5)^$R$9)</f>
        <v>71345.015394470334</v>
      </c>
      <c r="D61" s="17"/>
      <c r="E61" s="3"/>
      <c r="F61" s="3"/>
      <c r="G61" s="3"/>
      <c r="H61" s="17"/>
      <c r="I61" s="13"/>
      <c r="J61" s="1"/>
      <c r="L61" s="50" t="s">
        <v>52</v>
      </c>
      <c r="M61" s="51"/>
      <c r="N61" s="51"/>
      <c r="O61" s="51"/>
      <c r="P61" s="51"/>
      <c r="Q61" s="50"/>
    </row>
    <row r="62" spans="1:86" x14ac:dyDescent="0.25">
      <c r="A62" s="1"/>
      <c r="B62" s="6" t="s">
        <v>32</v>
      </c>
      <c r="C62" s="6"/>
      <c r="D62" s="1"/>
      <c r="E62" s="6"/>
      <c r="F62" s="6"/>
      <c r="G62" s="27" t="s">
        <v>33</v>
      </c>
      <c r="H62" s="27" t="s">
        <v>30</v>
      </c>
      <c r="I62" s="16"/>
      <c r="J62" s="1"/>
      <c r="K62" s="50"/>
      <c r="L62" s="52">
        <f>D68</f>
        <v>123.88160335564245</v>
      </c>
      <c r="M62" s="53">
        <v>-0.01</v>
      </c>
      <c r="N62" s="53">
        <v>0.01</v>
      </c>
      <c r="O62" s="53">
        <v>0.03</v>
      </c>
      <c r="P62" s="53">
        <v>0.04</v>
      </c>
      <c r="Q62" s="53">
        <v>0.05</v>
      </c>
    </row>
    <row r="63" spans="1:86" x14ac:dyDescent="0.25">
      <c r="A63" s="1"/>
      <c r="B63" s="28" t="s">
        <v>34</v>
      </c>
      <c r="C63" s="1"/>
      <c r="D63" s="21">
        <f>3488+3188</f>
        <v>6676</v>
      </c>
      <c r="E63" s="1"/>
      <c r="F63" s="1"/>
      <c r="G63" s="25">
        <f>C61+SUM(I58:R58)</f>
        <v>139601.37713720428</v>
      </c>
      <c r="H63" s="19">
        <f>F60</f>
        <v>135926.83513916709</v>
      </c>
      <c r="I63" s="16"/>
      <c r="J63" s="1"/>
      <c r="K63" s="50"/>
      <c r="L63" s="54">
        <f>L64-0.5%</f>
        <v>9.4281743723258343E-2</v>
      </c>
      <c r="M63" s="55">
        <f t="dataTable" ref="M63:Q67" dt2D="1" dtr="1" r1="E6" r2="E5"/>
        <v>118.06019058628665</v>
      </c>
      <c r="N63" s="55">
        <v>132.08657381679484</v>
      </c>
      <c r="O63" s="55">
        <v>154.43228810223792</v>
      </c>
      <c r="P63" s="55">
        <v>171.27052128312528</v>
      </c>
      <c r="Q63" s="55">
        <v>194.76753256617806</v>
      </c>
    </row>
    <row r="64" spans="1:86" x14ac:dyDescent="0.25">
      <c r="A64" s="1"/>
      <c r="B64" s="29" t="s">
        <v>35</v>
      </c>
      <c r="C64" s="3"/>
      <c r="D64" s="71">
        <f>7866-1430</f>
        <v>6436</v>
      </c>
      <c r="E64" s="3"/>
      <c r="F64" s="3"/>
      <c r="G64" s="3"/>
      <c r="H64" s="3"/>
      <c r="I64" s="16"/>
      <c r="J64" s="1"/>
      <c r="K64" s="51"/>
      <c r="L64" s="54">
        <f>L65-1%</f>
        <v>9.9281743723258348E-2</v>
      </c>
      <c r="M64" s="55">
        <v>111.76459257760217</v>
      </c>
      <c r="N64" s="56">
        <v>123.91573399943564</v>
      </c>
      <c r="O64" s="56">
        <v>142.81661416587491</v>
      </c>
      <c r="P64" s="56">
        <v>156.72256857512664</v>
      </c>
      <c r="Q64" s="55">
        <v>175.67614249987483</v>
      </c>
    </row>
    <row r="65" spans="1:17" x14ac:dyDescent="0.25">
      <c r="A65" s="1"/>
      <c r="B65" s="6" t="s">
        <v>36</v>
      </c>
      <c r="C65" s="6"/>
      <c r="D65" s="6"/>
      <c r="E65" s="6"/>
      <c r="F65" s="6"/>
      <c r="G65" s="30">
        <f>(G63+D63-D64)</f>
        <v>139841.37713720428</v>
      </c>
      <c r="H65" s="31">
        <f>(H63+D63-D64)</f>
        <v>136166.83513916709</v>
      </c>
      <c r="I65" s="16"/>
      <c r="J65"/>
      <c r="K65" s="50" t="s">
        <v>1</v>
      </c>
      <c r="L65" s="57">
        <v>0.10928174372325834</v>
      </c>
      <c r="M65" s="55">
        <v>100.82392235353257</v>
      </c>
      <c r="N65" s="56">
        <v>110.07606865955033</v>
      </c>
      <c r="O65" s="58">
        <v>123.88160335564245</v>
      </c>
      <c r="P65" s="56">
        <v>133.63532123724426</v>
      </c>
      <c r="Q65" s="55">
        <v>146.43525641075843</v>
      </c>
    </row>
    <row r="66" spans="1:17" x14ac:dyDescent="0.25">
      <c r="A66" s="1"/>
      <c r="B66" s="3" t="s">
        <v>37</v>
      </c>
      <c r="C66" s="3"/>
      <c r="D66" s="35">
        <v>1114</v>
      </c>
      <c r="E66" s="3"/>
      <c r="F66" s="3"/>
      <c r="G66" s="3"/>
      <c r="H66" s="3"/>
      <c r="I66" s="16"/>
      <c r="J66" s="1"/>
      <c r="K66" s="50"/>
      <c r="L66" s="59">
        <f>L65+1%</f>
        <v>0.11928174372325834</v>
      </c>
      <c r="M66" s="55">
        <v>91.656294083175098</v>
      </c>
      <c r="N66" s="56">
        <v>98.820918829078593</v>
      </c>
      <c r="O66" s="56">
        <v>109.14490621267012</v>
      </c>
      <c r="P66" s="56">
        <v>116.20027911871387</v>
      </c>
      <c r="Q66" s="55">
        <v>125.18851827173592</v>
      </c>
    </row>
    <row r="67" spans="1:17" x14ac:dyDescent="0.25">
      <c r="A67" s="1"/>
      <c r="B67" s="18" t="s">
        <v>38</v>
      </c>
      <c r="C67" s="18"/>
      <c r="D67" s="18">
        <f>D66*$J$5</f>
        <v>129625.04</v>
      </c>
      <c r="E67" s="18"/>
      <c r="F67" s="18"/>
      <c r="G67" s="18"/>
      <c r="H67" s="32"/>
      <c r="I67" s="1"/>
      <c r="J67" s="1"/>
      <c r="K67" s="50"/>
      <c r="L67" s="59">
        <f>L66+0.5%</f>
        <v>0.12428174372325834</v>
      </c>
      <c r="M67" s="55">
        <v>87.612431995047558</v>
      </c>
      <c r="N67" s="55">
        <v>93.952349669866834</v>
      </c>
      <c r="O67" s="55">
        <v>102.9482428789118</v>
      </c>
      <c r="P67" s="55">
        <v>109.00742574053803</v>
      </c>
      <c r="Q67" s="55">
        <v>116.62959663706067</v>
      </c>
    </row>
    <row r="68" spans="1:17" x14ac:dyDescent="0.25">
      <c r="A68" s="1"/>
      <c r="B68" s="6" t="s">
        <v>39</v>
      </c>
      <c r="C68" s="6" t="s">
        <v>40</v>
      </c>
      <c r="D68" s="33">
        <f>(G68+H68)/2</f>
        <v>123.88160335564245</v>
      </c>
      <c r="F68" s="6"/>
      <c r="G68" s="33">
        <f>G65/D66</f>
        <v>125.53085918959091</v>
      </c>
      <c r="H68" s="33">
        <f>H65/D66</f>
        <v>122.23234752169398</v>
      </c>
      <c r="I68" s="16"/>
      <c r="J68" s="1"/>
    </row>
    <row r="69" spans="1:17" x14ac:dyDescent="0.25">
      <c r="A69"/>
      <c r="C69" s="1"/>
      <c r="D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8" sqref="F8"/>
    </sheetView>
  </sheetViews>
  <sheetFormatPr defaultRowHeight="15" x14ac:dyDescent="0.25"/>
  <cols>
    <col min="11" max="11" width="11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7" t="s">
        <v>1</v>
      </c>
      <c r="C2" s="2"/>
      <c r="D2" s="2"/>
      <c r="E2" s="2"/>
      <c r="F2" s="2"/>
      <c r="G2" s="2"/>
      <c r="H2" s="2"/>
      <c r="I2" s="2"/>
      <c r="J2" s="2"/>
      <c r="K2" s="2"/>
      <c r="L2" s="38"/>
    </row>
    <row r="3" spans="1:14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2"/>
    </row>
    <row r="4" spans="1:14" x14ac:dyDescent="0.25">
      <c r="A4" s="40" t="s">
        <v>42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1">
        <v>0.151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1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2">
        <v>1.26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1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'QCOM DCF'!D67</f>
        <v>129625.04</v>
      </c>
      <c r="D12" s="2"/>
      <c r="E12" s="2" t="s">
        <v>35</v>
      </c>
      <c r="F12" s="2"/>
      <c r="G12" s="21">
        <f>'QCOM DCF'!D64</f>
        <v>6436</v>
      </c>
      <c r="H12" s="2"/>
      <c r="I12" s="2" t="s">
        <v>47</v>
      </c>
      <c r="J12" s="2"/>
      <c r="K12" s="21">
        <f>G12+C12</f>
        <v>136061.03999999998</v>
      </c>
      <c r="L12" s="2"/>
    </row>
    <row r="13" spans="1:14" x14ac:dyDescent="0.25">
      <c r="A13" s="2" t="s">
        <v>48</v>
      </c>
      <c r="B13" s="2"/>
      <c r="C13" s="43">
        <f>C12/K12</f>
        <v>0.95269770097303397</v>
      </c>
      <c r="D13" s="2"/>
      <c r="E13" s="2" t="s">
        <v>49</v>
      </c>
      <c r="F13" s="2"/>
      <c r="G13" s="44">
        <f>G12/K12</f>
        <v>4.7302299026966137E-2</v>
      </c>
      <c r="H13" s="2"/>
      <c r="I13" s="2"/>
      <c r="J13" s="2"/>
      <c r="K13" s="2"/>
      <c r="L13" s="2"/>
      <c r="M13" s="35"/>
    </row>
    <row r="14" spans="1:14" x14ac:dyDescent="0.25">
      <c r="A14" s="2" t="s">
        <v>50</v>
      </c>
      <c r="B14" s="2"/>
      <c r="C14" s="45">
        <f>D7+D8*(D9)</f>
        <v>0.11260000000000001</v>
      </c>
      <c r="D14" s="2"/>
      <c r="E14" s="2" t="s">
        <v>51</v>
      </c>
      <c r="F14" s="2"/>
      <c r="G14" s="46">
        <v>0.05</v>
      </c>
      <c r="H14" s="2"/>
      <c r="I14" s="47" t="s">
        <v>1</v>
      </c>
      <c r="J14" s="48"/>
      <c r="K14" s="66">
        <f>C13*C14+G14*G13*(1-D6)</f>
        <v>0.10928174372325834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QCOM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2023-06-06T16:26:32Z</dcterms:modified>
</cp:coreProperties>
</file>