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3A797246-B537-4FF6-AA63-92D5A892134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U DCF" sheetId="1" r:id="rId1"/>
    <sheet name="WACC" sheetId="2" r:id="rId2"/>
    <sheet name="Raw IS" sheetId="3" r:id="rId3"/>
    <sheet name="Raw CF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L64" i="1"/>
  <c r="L67" i="1"/>
  <c r="L66" i="1"/>
  <c r="G12" i="2"/>
  <c r="D64" i="1"/>
  <c r="D66" i="1"/>
  <c r="I47" i="1"/>
  <c r="J47" i="1"/>
  <c r="K47" i="1"/>
  <c r="L47" i="1"/>
  <c r="M47" i="1"/>
  <c r="N47" i="1"/>
  <c r="O47" i="1"/>
  <c r="P47" i="1"/>
  <c r="Q47" i="1"/>
  <c r="I44" i="1"/>
  <c r="J44" i="1"/>
  <c r="K44" i="1"/>
  <c r="L44" i="1"/>
  <c r="M44" i="1"/>
  <c r="N44" i="1"/>
  <c r="O44" i="1"/>
  <c r="P44" i="1"/>
  <c r="Q44" i="1"/>
  <c r="H55" i="1"/>
  <c r="J32" i="1"/>
  <c r="K32" i="1"/>
  <c r="L32" i="1"/>
  <c r="M32" i="1"/>
  <c r="N32" i="1"/>
  <c r="O32" i="1"/>
  <c r="P32" i="1"/>
  <c r="Q32" i="1"/>
  <c r="R32" i="1"/>
  <c r="I32" i="1"/>
  <c r="J25" i="1"/>
  <c r="K25" i="1"/>
  <c r="L25" i="1"/>
  <c r="M25" i="1"/>
  <c r="N25" i="1"/>
  <c r="O25" i="1"/>
  <c r="P25" i="1"/>
  <c r="Q25" i="1"/>
  <c r="R25" i="1"/>
  <c r="I25" i="1"/>
  <c r="J11" i="1"/>
  <c r="K11" i="1"/>
  <c r="L11" i="1" s="1"/>
  <c r="M11" i="1" s="1"/>
  <c r="N11" i="1" s="1"/>
  <c r="O11" i="1" s="1"/>
  <c r="P11" i="1" s="1"/>
  <c r="Q11" i="1" s="1"/>
  <c r="R11" i="1" s="1"/>
  <c r="I11" i="1"/>
  <c r="G50" i="1"/>
  <c r="H50" i="1"/>
  <c r="F50" i="1"/>
  <c r="D50" i="1"/>
  <c r="E50" i="1"/>
  <c r="C50" i="1"/>
  <c r="G47" i="1"/>
  <c r="H47" i="1"/>
  <c r="F47" i="1"/>
  <c r="D47" i="1"/>
  <c r="E47" i="1"/>
  <c r="C47" i="1"/>
  <c r="G44" i="1"/>
  <c r="H44" i="1"/>
  <c r="F44" i="1"/>
  <c r="D44" i="1"/>
  <c r="E44" i="1"/>
  <c r="C44" i="1"/>
  <c r="D53" i="1"/>
  <c r="E53" i="1"/>
  <c r="F53" i="1"/>
  <c r="G53" i="1"/>
  <c r="H53" i="1"/>
  <c r="C53" i="1"/>
  <c r="D55" i="1"/>
  <c r="E55" i="1"/>
  <c r="F55" i="1"/>
  <c r="G55" i="1"/>
  <c r="C55" i="1"/>
  <c r="G54" i="1"/>
  <c r="H54" i="1"/>
  <c r="F54" i="1"/>
  <c r="D54" i="1"/>
  <c r="E54" i="1"/>
  <c r="C54" i="1"/>
  <c r="G40" i="1"/>
  <c r="H40" i="1"/>
  <c r="F40" i="1"/>
  <c r="D40" i="1"/>
  <c r="E40" i="1"/>
  <c r="C40" i="1"/>
  <c r="D33" i="1"/>
  <c r="H33" i="1"/>
  <c r="G32" i="1"/>
  <c r="G33" i="1" s="1"/>
  <c r="H32" i="1"/>
  <c r="F32" i="1"/>
  <c r="F33" i="1" s="1"/>
  <c r="D32" i="1"/>
  <c r="E32" i="1"/>
  <c r="E33" i="1" s="1"/>
  <c r="C32" i="1"/>
  <c r="C33" i="1" s="1"/>
  <c r="G25" i="1"/>
  <c r="G26" i="1" s="1"/>
  <c r="H25" i="1"/>
  <c r="F25" i="1"/>
  <c r="D25" i="1"/>
  <c r="E25" i="1"/>
  <c r="E26" i="1" s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F26" i="1" l="1"/>
  <c r="C26" i="1"/>
  <c r="D26" i="1"/>
  <c r="H26" i="1"/>
  <c r="C14" i="2"/>
  <c r="D67" i="1"/>
  <c r="C12" i="2" s="1"/>
  <c r="C28" i="1"/>
  <c r="C29" i="1" s="1"/>
  <c r="I22" i="1"/>
  <c r="I19" i="1"/>
  <c r="D23" i="1"/>
  <c r="E23" i="1"/>
  <c r="F23" i="1"/>
  <c r="G23" i="1"/>
  <c r="H23" i="1"/>
  <c r="C23" i="1"/>
  <c r="D20" i="1"/>
  <c r="E20" i="1"/>
  <c r="F20" i="1"/>
  <c r="G20" i="1"/>
  <c r="H20" i="1"/>
  <c r="C20" i="1"/>
  <c r="H28" i="1"/>
  <c r="H12" i="1"/>
  <c r="G28" i="1"/>
  <c r="G29" i="1" s="1"/>
  <c r="F28" i="1"/>
  <c r="E28" i="1"/>
  <c r="E29" i="1" s="1"/>
  <c r="D28" i="1"/>
  <c r="E48" i="1"/>
  <c r="D48" i="1"/>
  <c r="C48" i="1"/>
  <c r="F48" i="1"/>
  <c r="G48" i="1"/>
  <c r="H48" i="1"/>
  <c r="F45" i="1"/>
  <c r="H45" i="1"/>
  <c r="C45" i="1"/>
  <c r="D51" i="1"/>
  <c r="C51" i="1"/>
  <c r="D45" i="1"/>
  <c r="D16" i="1"/>
  <c r="D17" i="1" s="1"/>
  <c r="E16" i="1"/>
  <c r="C16" i="1"/>
  <c r="F51" i="1"/>
  <c r="G51" i="1"/>
  <c r="H51" i="1"/>
  <c r="G45" i="1"/>
  <c r="E45" i="1"/>
  <c r="F16" i="1"/>
  <c r="F17" i="1" s="1"/>
  <c r="G16" i="1"/>
  <c r="H16" i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I28" i="1" l="1"/>
  <c r="I31" i="1" s="1"/>
  <c r="I35" i="1" s="1"/>
  <c r="H31" i="1"/>
  <c r="I29" i="1"/>
  <c r="J19" i="1"/>
  <c r="J22" i="1"/>
  <c r="K22" i="1"/>
  <c r="K28" i="1" s="1"/>
  <c r="K31" i="1" s="1"/>
  <c r="K35" i="1" s="1"/>
  <c r="H17" i="1"/>
  <c r="I50" i="1"/>
  <c r="E51" i="1"/>
  <c r="K12" i="2"/>
  <c r="C13" i="2" s="1"/>
  <c r="I16" i="1"/>
  <c r="C31" i="1"/>
  <c r="D31" i="1"/>
  <c r="D35" i="1" s="1"/>
  <c r="G31" i="1"/>
  <c r="G35" i="1" s="1"/>
  <c r="E31" i="1"/>
  <c r="E35" i="1" s="1"/>
  <c r="G37" i="1"/>
  <c r="G17" i="1"/>
  <c r="C17" i="1"/>
  <c r="E17" i="1"/>
  <c r="H29" i="1"/>
  <c r="F31" i="1"/>
  <c r="F35" i="1" s="1"/>
  <c r="F29" i="1"/>
  <c r="D29" i="1"/>
  <c r="J28" i="1" l="1"/>
  <c r="J31" i="1" s="1"/>
  <c r="J35" i="1" s="1"/>
  <c r="C37" i="1"/>
  <c r="C35" i="1"/>
  <c r="H35" i="1"/>
  <c r="G57" i="1"/>
  <c r="G41" i="1"/>
  <c r="K19" i="1"/>
  <c r="K29" i="1"/>
  <c r="I14" i="1"/>
  <c r="G13" i="2"/>
  <c r="K14" i="2" s="1"/>
  <c r="E5" i="1" s="1"/>
  <c r="E37" i="1"/>
  <c r="D37" i="1"/>
  <c r="D41" i="1" s="1"/>
  <c r="F37" i="1"/>
  <c r="H37" i="1"/>
  <c r="J50" i="1"/>
  <c r="J16" i="1"/>
  <c r="G38" i="1"/>
  <c r="I37" i="1" l="1"/>
  <c r="H57" i="1"/>
  <c r="H41" i="1"/>
  <c r="F57" i="1"/>
  <c r="F41" i="1"/>
  <c r="E57" i="1"/>
  <c r="E41" i="1"/>
  <c r="C57" i="1"/>
  <c r="C38" i="1"/>
  <c r="C41" i="1"/>
  <c r="J29" i="1"/>
  <c r="E38" i="1"/>
  <c r="D57" i="1"/>
  <c r="J14" i="1"/>
  <c r="K16" i="1"/>
  <c r="D38" i="1"/>
  <c r="H38" i="1"/>
  <c r="F38" i="1"/>
  <c r="K50" i="1"/>
  <c r="I38" i="1" l="1"/>
  <c r="I40" i="1"/>
  <c r="L22" i="1"/>
  <c r="L19" i="1"/>
  <c r="J37" i="1"/>
  <c r="K14" i="1"/>
  <c r="L50" i="1"/>
  <c r="L16" i="1"/>
  <c r="L28" i="1" l="1"/>
  <c r="L31" i="1" s="1"/>
  <c r="L35" i="1" s="1"/>
  <c r="I55" i="1"/>
  <c r="I53" i="1"/>
  <c r="I57" i="1" s="1"/>
  <c r="I58" i="1" s="1"/>
  <c r="J38" i="1"/>
  <c r="J40" i="1"/>
  <c r="K37" i="1"/>
  <c r="L14" i="1"/>
  <c r="J55" i="1" l="1"/>
  <c r="J53" i="1"/>
  <c r="J57" i="1" s="1"/>
  <c r="J58" i="1" s="1"/>
  <c r="L29" i="1"/>
  <c r="K38" i="1"/>
  <c r="K40" i="1"/>
  <c r="K55" i="1" s="1"/>
  <c r="N22" i="1"/>
  <c r="N19" i="1"/>
  <c r="N50" i="1"/>
  <c r="N16" i="1"/>
  <c r="N14" i="1" s="1"/>
  <c r="N28" i="1" l="1"/>
  <c r="N31" i="1" s="1"/>
  <c r="N35" i="1" s="1"/>
  <c r="K53" i="1"/>
  <c r="K57" i="1" s="1"/>
  <c r="K58" i="1" s="1"/>
  <c r="L37" i="1"/>
  <c r="N29" i="1" l="1"/>
  <c r="L38" i="1"/>
  <c r="L40" i="1"/>
  <c r="L55" i="1" l="1"/>
  <c r="L53" i="1"/>
  <c r="L57" i="1" s="1"/>
  <c r="L58" i="1" s="1"/>
  <c r="R44" i="1"/>
  <c r="N37" i="1"/>
  <c r="N38" i="1" l="1"/>
  <c r="N40" i="1"/>
  <c r="N55" i="1" s="1"/>
  <c r="N53" i="1" l="1"/>
  <c r="N57" i="1" s="1"/>
  <c r="N58" i="1" s="1"/>
  <c r="M19" i="1" l="1"/>
  <c r="O50" i="1"/>
  <c r="O19" i="1"/>
  <c r="O16" i="1"/>
  <c r="P19" i="1" l="1"/>
  <c r="P50" i="1"/>
  <c r="P16" i="1"/>
  <c r="P22" i="1"/>
  <c r="O22" i="1"/>
  <c r="O28" i="1" s="1"/>
  <c r="O31" i="1" s="1"/>
  <c r="O35" i="1" s="1"/>
  <c r="O14" i="1"/>
  <c r="M16" i="1"/>
  <c r="M50" i="1"/>
  <c r="M22" i="1"/>
  <c r="P28" i="1" l="1"/>
  <c r="P31" i="1" s="1"/>
  <c r="P35" i="1" s="1"/>
  <c r="M28" i="1"/>
  <c r="M31" i="1" s="1"/>
  <c r="M35" i="1" s="1"/>
  <c r="P29" i="1"/>
  <c r="O29" i="1"/>
  <c r="Q50" i="1"/>
  <c r="Q19" i="1"/>
  <c r="Q16" i="1"/>
  <c r="Q22" i="1"/>
  <c r="M14" i="1"/>
  <c r="P14" i="1"/>
  <c r="Q28" i="1" l="1"/>
  <c r="Q31" i="1" s="1"/>
  <c r="Q35" i="1" s="1"/>
  <c r="M29" i="1"/>
  <c r="O37" i="1"/>
  <c r="R50" i="1"/>
  <c r="R19" i="1"/>
  <c r="R22" i="1"/>
  <c r="R16" i="1"/>
  <c r="Q29" i="1"/>
  <c r="Q14" i="1"/>
  <c r="M37" i="1"/>
  <c r="R28" i="1" l="1"/>
  <c r="R31" i="1" s="1"/>
  <c r="R35" i="1" s="1"/>
  <c r="P37" i="1"/>
  <c r="P40" i="1" s="1"/>
  <c r="R29" i="1"/>
  <c r="M38" i="1"/>
  <c r="M40" i="1"/>
  <c r="P38" i="1"/>
  <c r="O40" i="1"/>
  <c r="O53" i="1" s="1"/>
  <c r="O38" i="1"/>
  <c r="R14" i="1"/>
  <c r="P55" i="1" l="1"/>
  <c r="M55" i="1"/>
  <c r="O55" i="1"/>
  <c r="P53" i="1"/>
  <c r="M53" i="1"/>
  <c r="M57" i="1" s="1"/>
  <c r="M58" i="1" s="1"/>
  <c r="Q37" i="1"/>
  <c r="R37" i="1"/>
  <c r="Q40" i="1" l="1"/>
  <c r="Q55" i="1" s="1"/>
  <c r="Q38" i="1"/>
  <c r="R38" i="1"/>
  <c r="R40" i="1"/>
  <c r="R55" i="1" s="1"/>
  <c r="S55" i="1" l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Q53" i="1"/>
  <c r="R53" i="1"/>
  <c r="F60" i="1" l="1"/>
  <c r="H63" i="1" s="1"/>
  <c r="H65" i="1" s="1"/>
  <c r="H68" i="1" s="1"/>
  <c r="P57" i="1" l="1"/>
  <c r="P58" i="1" s="1"/>
  <c r="O57" i="1"/>
  <c r="O58" i="1" s="1"/>
  <c r="Q57" i="1"/>
  <c r="Q58" i="1" s="1"/>
  <c r="R47" i="1"/>
  <c r="R57" i="1"/>
  <c r="C60" i="1" s="1"/>
  <c r="C61" i="1" s="1"/>
  <c r="R58" i="1" l="1"/>
  <c r="G63" i="1" s="1"/>
  <c r="G65" i="1" s="1"/>
  <c r="G68" i="1" s="1"/>
  <c r="D68" i="1" s="1"/>
  <c r="L62" i="1" l="1"/>
  <c r="J6" i="1"/>
  <c r="N5" i="1" s="1"/>
</calcChain>
</file>

<file path=xl/sharedStrings.xml><?xml version="1.0" encoding="utf-8"?>
<sst xmlns="http://schemas.openxmlformats.org/spreadsheetml/2006/main" count="229" uniqueCount="128">
  <si>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</si>
  <si>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</si>
  <si>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</si>
  <si>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</si>
  <si>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</si>
  <si>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</si>
  <si>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</si>
  <si>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</si>
  <si>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</si>
  <si>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</si>
  <si>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</si>
  <si>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</si>
  <si>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</si>
  <si>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</si>
  <si>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</si>
  <si>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% Rev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</si>
  <si>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</si>
  <si>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</si>
  <si>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</si>
  <si>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</si>
  <si>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</si>
  <si>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</si>
  <si>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</si>
  <si>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</si>
  <si>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</si>
  <si>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</si>
  <si>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</si>
  <si>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</si>
  <si>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</si>
  <si>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</si>
  <si>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</si>
  <si>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</si>
  <si>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</si>
  <si>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</si>
  <si>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</si>
  <si>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</si>
  <si>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</si>
  <si>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</si>
  <si>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</si>
  <si>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</si>
  <si>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</si>
  <si>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</si>
  <si>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</si>
  <si>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</si>
  <si>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</si>
  <si>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</si>
  <si>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</si>
  <si>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</si>
  <si>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</si>
  <si>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</si>
  <si>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</si>
  <si>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</si>
  <si>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</si>
  <si>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</si>
  <si>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</si>
  <si>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 xml:space="preserve">                                             Terminal Growth Rate</t>
  </si>
  <si>
    <t>Consolidated Statements of Operations</t>
  </si>
  <si>
    <t>For the year ended</t>
  </si>
  <si>
    <t>Cost of goods sold</t>
  </si>
  <si>
    <t>Gross margin</t>
  </si>
  <si>
    <t>Research and development</t>
  </si>
  <si>
    <t>Selling, general, and administrative</t>
  </si>
  <si>
    <t>Restructure and asset impairments</t>
  </si>
  <si>
    <t>Other operating (income) expense, net</t>
  </si>
  <si>
    <t>Interest income</t>
  </si>
  <si>
    <t>Interest expense</t>
  </si>
  <si>
    <t>Other non-operating income (expense), net</t>
  </si>
  <si>
    <t>Income tax (provision) benefit</t>
  </si>
  <si>
    <t>Equity in net income (loss) of equity method investees</t>
  </si>
  <si>
    <t>Net income attributable to noncontrolling interests</t>
  </si>
  <si>
    <t>—</t>
  </si>
  <si>
    <t>Net income attributable to Micron</t>
  </si>
  <si>
    <t>Earnings per share</t>
  </si>
  <si>
    <t>Basic</t>
  </si>
  <si>
    <t>Diluted</t>
  </si>
  <si>
    <t>Number of shares used in per share calculations</t>
  </si>
  <si>
    <t>Cash flows from operating activities</t>
  </si>
  <si>
    <t>Adjustments to reconcile net income to net cash provided by operating activities:</t>
  </si>
  <si>
    <t>Depreciation expense and amortization of intangible assets</t>
  </si>
  <si>
    <t>Stock-based compensation</t>
  </si>
  <si>
    <t>(Gain) loss on debt repurchases and conversions</t>
  </si>
  <si>
    <t>Change in operating assets and liabilities:</t>
  </si>
  <si>
    <t>Receivables</t>
  </si>
  <si>
    <t>Inventories</t>
  </si>
  <si>
    <t>Accounts payable and accrued expenses</t>
  </si>
  <si>
    <t>Other</t>
  </si>
  <si>
    <t>Net cash provided by operating activities</t>
  </si>
  <si>
    <t>Cash flows from investing activities</t>
  </si>
  <si>
    <t>Expenditures for property, plant, and equipment</t>
  </si>
  <si>
    <t>Purchases of available-for-sale securities</t>
  </si>
  <si>
    <t>Proceeds from maturities of available-for-sale securities</t>
  </si>
  <si>
    <t>Proceeds from sale of Lehi, Utah fab</t>
  </si>
  <si>
    <t>Proceeds from sales of available-for-sale securities</t>
  </si>
  <si>
    <t>Proceeds from government incentives</t>
  </si>
  <si>
    <t>Net cash provided by (used for) investing activities</t>
  </si>
  <si>
    <t>Cash flows from financing activities</t>
  </si>
  <si>
    <t>Repurchases of common stock - repurchase program</t>
  </si>
  <si>
    <t>Repayments of debt</t>
  </si>
  <si>
    <t>Payments of dividends to shareholders</t>
  </si>
  <si>
    <t>Payments on equipment purchase contracts</t>
  </si>
  <si>
    <t>Repurchases of common stock - withholdings on employee equity awards</t>
  </si>
  <si>
    <t>Acquisition of noncontrolling interest in IMFT</t>
  </si>
  <si>
    <t>Proceeds from issuance of debt</t>
  </si>
  <si>
    <t>Net cash provided by (used for) financing activities</t>
  </si>
  <si>
    <t>Effect of changes in currency exchange rates on cash, cash equivalents, and restricted cash</t>
  </si>
  <si>
    <t>Net increase (decrease) in cash, cash equivalents, and restricted cash</t>
  </si>
  <si>
    <t>Cash, cash equivalents, and restricted cash at beginning of period</t>
  </si>
  <si>
    <t>Cash, cash equivalents, and restricted cash at end of period</t>
  </si>
  <si>
    <t>Supplemental disclosures</t>
  </si>
  <si>
    <t>Income taxes paid, net</t>
  </si>
  <si>
    <t>Interest paid, net of amounts capitalized</t>
  </si>
  <si>
    <t>Noncash equipment acquisitions on contracts payable</t>
  </si>
  <si>
    <t>Adjustments to reconcile net income to net cash provided by operating activities</t>
  </si>
  <si>
    <t>Amortization of debt discount and other costs</t>
  </si>
  <si>
    <t>Loss on debt prepayments, repurchases, and conversions</t>
  </si>
  <si>
    <t>Gain on remeasurement of previously-held equity interest in Inotera</t>
  </si>
  <si>
    <t>Change in operating assets and liabilities</t>
  </si>
  <si>
    <t>Payments attributed to intercompany balances with Inotera</t>
  </si>
  <si>
    <t>Deferred income taxes, net</t>
  </si>
  <si>
    <t>Acquisition of Inotera</t>
  </si>
  <si>
    <t>Payments to acquire treasury stock</t>
  </si>
  <si>
    <t>Proceeds from issuance of stock</t>
  </si>
  <si>
    <t>Net increase in cash, cash equivalents, and restricted cash</t>
  </si>
  <si>
    <t>Noncash investing and financing activity</t>
  </si>
  <si>
    <t>Equipment acquisitions on contracts payable and capital leases</t>
  </si>
  <si>
    <t>NCI</t>
  </si>
  <si>
    <t>Micron Technology DCF</t>
  </si>
  <si>
    <t>Update 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</si>
</sst>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_);[Red]&quot;($&quot;#,##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3" xfId="0" applyNumberFormat="1" applyFont="1" applyFill="1" applyBorder="1"/>
    <xf numFmtId="2" fontId="0" fillId="2" borderId="0" xfId="0" applyNumberFormat="1" applyFill="1"/>
    <xf numFmtId="2" fontId="0" fillId="3" borderId="0" xfId="0" applyNumberFormat="1" applyFill="1"/>
    <xf numFmtId="2" fontId="9" fillId="10" borderId="0" xfId="0" applyNumberFormat="1" applyFont="1" applyFill="1"/>
    <xf numFmtId="2" fontId="3" fillId="2" borderId="0" xfId="0" applyNumberFormat="1" applyFont="1" applyFill="1"/>
    <xf numFmtId="1" fontId="3" fillId="2" borderId="6" xfId="0" applyNumberFormat="1" applyFont="1" applyFill="1" applyBorder="1"/>
    <xf numFmtId="0" fontId="10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165" fontId="10" fillId="0" borderId="0" xfId="0" applyNumberFormat="1" applyFont="1"/>
    <xf numFmtId="3" fontId="10" fillId="0" borderId="0" xfId="0" applyNumberFormat="1" applyFont="1"/>
    <xf numFmtId="166" fontId="10" fillId="0" borderId="0" xfId="0" applyNumberFormat="1" applyFont="1"/>
    <xf numFmtId="167" fontId="10" fillId="0" borderId="0" xfId="0" applyNumberFormat="1" applyFont="1"/>
    <xf numFmtId="4" fontId="10" fillId="0" borderId="0" xfId="0" applyNumberFormat="1" applyFont="1"/>
    <xf numFmtId="168" fontId="10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168" fontId="0" fillId="0" borderId="0" xfId="0" applyNumberFormat="1"/>
    <xf numFmtId="0" fontId="3" fillId="2" borderId="0" xfId="1" applyNumberFormat="1" applyFont="1" applyFill="1"/>
    <xf numFmtId="3" fontId="3" fillId="2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ont="1" applyFill="1" applyBorder="1"/>
    <xf numFmtId="164" fontId="11" fillId="2" borderId="4" xfId="1" applyNumberFormat="1" applyFont="1" applyFill="1" applyBorder="1"/>
    <xf numFmtId="0" fontId="0" fillId="2" borderId="4" xfId="0" applyFont="1" applyFill="1" applyBorder="1"/>
    <xf numFmtId="1" fontId="0" fillId="2" borderId="14" xfId="0" applyNumberFormat="1" applyFont="1" applyFill="1" applyBorder="1"/>
    <xf numFmtId="1" fontId="0" fillId="2" borderId="1" xfId="0" applyNumberFormat="1" applyFont="1" applyFill="1" applyBorder="1"/>
    <xf numFmtId="10" fontId="0" fillId="2" borderId="4" xfId="1" applyNumberFormat="1" applyFont="1" applyFill="1" applyBorder="1"/>
    <xf numFmtId="3" fontId="0" fillId="2" borderId="4" xfId="0" applyNumberFormat="1" applyFont="1" applyFill="1" applyBorder="1"/>
    <xf numFmtId="164" fontId="11" fillId="2" borderId="0" xfId="1" applyNumberFormat="1" applyFont="1" applyFill="1" applyBorder="1"/>
    <xf numFmtId="0" fontId="2" fillId="3" borderId="4" xfId="0" applyFont="1" applyFill="1" applyBorder="1"/>
    <xf numFmtId="3" fontId="0" fillId="0" borderId="4" xfId="0" applyNumberFormat="1" applyFont="1" applyBorder="1"/>
    <xf numFmtId="0" fontId="2" fillId="4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0" fontId="2" fillId="3" borderId="0" xfId="0" applyFont="1" applyFill="1" applyBorder="1"/>
    <xf numFmtId="3" fontId="0" fillId="0" borderId="0" xfId="0" applyNumberFormat="1" applyFont="1" applyBorder="1"/>
    <xf numFmtId="0" fontId="7" fillId="5" borderId="0" xfId="0" applyFont="1" applyFill="1"/>
    <xf numFmtId="164" fontId="7" fillId="5" borderId="0" xfId="1" applyNumberFormat="1" applyFont="1" applyFill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164" fontId="11" fillId="5" borderId="4" xfId="0" applyNumberFormat="1" applyFont="1" applyFill="1" applyBorder="1"/>
    <xf numFmtId="164" fontId="11" fillId="5" borderId="0" xfId="0" applyNumberFormat="1" applyFont="1" applyFill="1" applyBorder="1"/>
    <xf numFmtId="0" fontId="3" fillId="5" borderId="0" xfId="0" applyFont="1" applyFill="1"/>
    <xf numFmtId="164" fontId="3" fillId="5" borderId="0" xfId="1" applyNumberFormat="1" applyFont="1" applyFill="1"/>
    <xf numFmtId="10" fontId="0" fillId="5" borderId="4" xfId="0" applyNumberFormat="1" applyFont="1" applyFill="1" applyBorder="1"/>
    <xf numFmtId="10" fontId="0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8"/>
  <sheetViews>
    <sheetView tabSelected="1" topLeftCell="A52" workbookViewId="0">
      <selection activeCell="J61" sqref="J61"/>
    </sheetView>
  </sheetViews>
  <sheetFormatPr defaultRowHeight="15" x14ac:dyDescent="0.25"/>
  <cols>
    <col min="1" max="1" width="9.140625" style="2"/>
    <col min="2" max="2" width="19.5703125" style="2" customWidth="1"/>
    <col min="3" max="3" width="10.85546875" style="2" bestFit="1" customWidth="1"/>
    <col min="4" max="13" width="9.140625" style="2"/>
    <col min="14" max="14" width="9.7109375" style="2" bestFit="1" customWidth="1"/>
    <col min="15" max="16384" width="9.140625" style="2"/>
  </cols>
  <sheetData>
    <row r="1" spans="1:86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51" customFormat="1" ht="23.25" x14ac:dyDescent="0.35">
      <c r="A2" s="3"/>
      <c r="B2" s="4" t="s">
        <v>126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51" customFormat="1" x14ac:dyDescent="0.25">
      <c r="A5" s="1"/>
      <c r="B5" s="1"/>
      <c r="C5" s="7" t="s">
        <v>1</v>
      </c>
      <c r="D5" s="1"/>
      <c r="E5" s="8">
        <f>WACC!K14</f>
        <v>0.11378485549808461</v>
      </c>
      <c r="F5" s="2"/>
      <c r="G5" s="1"/>
      <c r="H5" s="1" t="s">
        <v>2</v>
      </c>
      <c r="I5" s="1"/>
      <c r="J5" s="7">
        <v>65.41</v>
      </c>
      <c r="K5" s="1"/>
      <c r="L5" s="1" t="s">
        <v>3</v>
      </c>
      <c r="M5" s="1"/>
      <c r="N5" s="7">
        <f>(J6/J5)-1</f>
        <v>6.7034442329175103E-2</v>
      </c>
      <c r="O5" s="1"/>
      <c r="P5" s="1" t="s">
        <v>127</v>
      </c>
      <c r="Q5" s="1"/>
      <c r="R5" s="2"/>
    </row>
    <row r="6" spans="1:86" s="51" customFormat="1" x14ac:dyDescent="0.25">
      <c r="A6" s="1"/>
      <c r="B6" s="1"/>
      <c r="C6" s="7" t="s">
        <v>4</v>
      </c>
      <c r="D6" s="1"/>
      <c r="E6" s="8">
        <v>0.04</v>
      </c>
      <c r="F6" s="2"/>
      <c r="G6" s="1"/>
      <c r="H6" s="1" t="s">
        <v>5</v>
      </c>
      <c r="I6" s="1"/>
      <c r="J6" s="7">
        <f>D68</f>
        <v>69.794722872751336</v>
      </c>
      <c r="K6" s="1"/>
      <c r="L6" s="1"/>
      <c r="M6" s="1"/>
      <c r="N6" s="1"/>
      <c r="O6" s="1"/>
      <c r="P6" s="1"/>
      <c r="Q6" s="1"/>
      <c r="R6" s="2"/>
    </row>
    <row r="7" spans="1:86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2"/>
    </row>
    <row r="8" spans="1:86" s="51" customFormat="1" x14ac:dyDescent="0.25">
      <c r="A8" s="1"/>
      <c r="B8" s="10"/>
      <c r="C8" s="1"/>
      <c r="D8" s="1"/>
      <c r="E8" s="36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82">
        <v>2023</v>
      </c>
      <c r="J10" s="93">
        <v>2024</v>
      </c>
      <c r="K10" s="93">
        <v>2025</v>
      </c>
      <c r="L10" s="93">
        <v>2026</v>
      </c>
      <c r="M10" s="93">
        <v>2027</v>
      </c>
      <c r="N10" s="93">
        <v>2028</v>
      </c>
      <c r="O10" s="93">
        <v>2029</v>
      </c>
      <c r="P10" s="93">
        <v>2030</v>
      </c>
      <c r="Q10" s="93">
        <v>2031</v>
      </c>
      <c r="R10" s="93">
        <v>2032</v>
      </c>
      <c r="S10" s="52">
        <v>2033</v>
      </c>
      <c r="T10" s="52">
        <v>2034</v>
      </c>
      <c r="U10" s="52">
        <v>2035</v>
      </c>
      <c r="V10" s="52">
        <v>2036</v>
      </c>
      <c r="W10" s="52">
        <v>2037</v>
      </c>
      <c r="X10" s="52">
        <v>2038</v>
      </c>
      <c r="Y10" s="52">
        <v>2039</v>
      </c>
      <c r="Z10" s="52">
        <v>2040</v>
      </c>
      <c r="AA10" s="52">
        <v>2041</v>
      </c>
      <c r="AB10" s="52">
        <v>2042</v>
      </c>
      <c r="AC10" s="52">
        <v>2043</v>
      </c>
      <c r="AD10" s="52">
        <v>2044</v>
      </c>
      <c r="AE10" s="52">
        <v>2045</v>
      </c>
      <c r="AF10" s="52">
        <v>2046</v>
      </c>
      <c r="AG10" s="52">
        <v>2047</v>
      </c>
      <c r="AH10" s="52">
        <v>2048</v>
      </c>
      <c r="AI10" s="52">
        <v>2049</v>
      </c>
      <c r="AJ10" s="52">
        <v>2050</v>
      </c>
      <c r="AK10" s="52">
        <v>2051</v>
      </c>
      <c r="AL10" s="52">
        <v>2052</v>
      </c>
      <c r="AM10" s="52">
        <v>2053</v>
      </c>
      <c r="AN10" s="52">
        <v>2054</v>
      </c>
      <c r="AO10" s="52">
        <v>2055</v>
      </c>
      <c r="AP10" s="52">
        <v>2056</v>
      </c>
      <c r="AQ10" s="52">
        <v>2057</v>
      </c>
      <c r="AR10" s="52">
        <v>2058</v>
      </c>
      <c r="AS10" s="52">
        <v>2059</v>
      </c>
      <c r="AT10" s="52">
        <v>2060</v>
      </c>
      <c r="AU10" s="52">
        <v>2061</v>
      </c>
      <c r="AV10" s="52">
        <v>2062</v>
      </c>
      <c r="AW10" s="52">
        <v>2063</v>
      </c>
      <c r="AX10" s="52">
        <v>2064</v>
      </c>
      <c r="AY10" s="52">
        <v>2065</v>
      </c>
      <c r="AZ10" s="52">
        <v>2066</v>
      </c>
      <c r="BA10" s="52">
        <v>2067</v>
      </c>
      <c r="BB10" s="52">
        <v>2068</v>
      </c>
      <c r="BC10" s="52">
        <v>2069</v>
      </c>
      <c r="BD10" s="52">
        <v>2070</v>
      </c>
      <c r="BE10" s="52">
        <v>2071</v>
      </c>
      <c r="BF10" s="52">
        <v>2072</v>
      </c>
      <c r="BG10" s="52">
        <v>2073</v>
      </c>
      <c r="BH10" s="52">
        <v>2074</v>
      </c>
      <c r="BI10" s="52">
        <v>2075</v>
      </c>
      <c r="BJ10" s="52">
        <v>2076</v>
      </c>
      <c r="BK10" s="52">
        <v>2077</v>
      </c>
      <c r="BL10" s="52">
        <v>2078</v>
      </c>
      <c r="BM10" s="52">
        <v>2079</v>
      </c>
      <c r="BN10" s="52">
        <v>2080</v>
      </c>
      <c r="BO10" s="52">
        <v>2081</v>
      </c>
      <c r="BP10" s="52">
        <v>2082</v>
      </c>
      <c r="BQ10" s="52">
        <v>2083</v>
      </c>
      <c r="BR10" s="52">
        <v>2084</v>
      </c>
      <c r="BS10" s="52">
        <v>2085</v>
      </c>
      <c r="BT10" s="52">
        <v>2086</v>
      </c>
      <c r="BU10" s="52">
        <v>2087</v>
      </c>
      <c r="BV10" s="52">
        <v>2088</v>
      </c>
      <c r="BW10" s="52">
        <v>2089</v>
      </c>
      <c r="BX10" s="52">
        <v>2090</v>
      </c>
      <c r="BY10" s="52">
        <v>2091</v>
      </c>
      <c r="BZ10" s="52">
        <v>2092</v>
      </c>
      <c r="CA10" s="52">
        <v>2093</v>
      </c>
      <c r="CB10" s="52">
        <v>2094</v>
      </c>
      <c r="CC10" s="52">
        <v>2095</v>
      </c>
      <c r="CD10" s="52">
        <v>2096</v>
      </c>
      <c r="CE10" s="52">
        <v>2097</v>
      </c>
      <c r="CF10" s="52">
        <v>2098</v>
      </c>
      <c r="CG10" s="52">
        <v>2099</v>
      </c>
      <c r="CH10" s="52">
        <v>2100</v>
      </c>
    </row>
    <row r="11" spans="1:86" s="51" customFormat="1" x14ac:dyDescent="0.25">
      <c r="A11" s="1"/>
      <c r="B11" s="1" t="s">
        <v>7</v>
      </c>
      <c r="C11" s="10">
        <f>'Raw IS'!J5</f>
        <v>20322</v>
      </c>
      <c r="D11" s="10">
        <f>'Raw IS'!K5</f>
        <v>30391</v>
      </c>
      <c r="E11" s="10">
        <f>'Raw IS'!L5</f>
        <v>23406</v>
      </c>
      <c r="F11" s="10">
        <f>'Raw IS'!D6</f>
        <v>21435</v>
      </c>
      <c r="G11" s="10">
        <f>'Raw IS'!E6</f>
        <v>27705</v>
      </c>
      <c r="H11" s="10">
        <f>'Raw IS'!F6</f>
        <v>30758</v>
      </c>
      <c r="I11" s="83">
        <f>H11*(1+I12)</f>
        <v>15440</v>
      </c>
      <c r="J11" s="94">
        <f t="shared" ref="J11:R11" si="1">I11*(1+J12)</f>
        <v>20310</v>
      </c>
      <c r="K11" s="94">
        <f t="shared" si="1"/>
        <v>28230</v>
      </c>
      <c r="L11" s="94">
        <f t="shared" si="1"/>
        <v>31560</v>
      </c>
      <c r="M11" s="94">
        <f t="shared" si="1"/>
        <v>35880</v>
      </c>
      <c r="N11" s="94">
        <f t="shared" si="1"/>
        <v>41950</v>
      </c>
      <c r="O11" s="94">
        <f t="shared" si="1"/>
        <v>43630</v>
      </c>
      <c r="P11" s="94">
        <f t="shared" si="1"/>
        <v>45369.999999999993</v>
      </c>
      <c r="Q11" s="94">
        <f t="shared" si="1"/>
        <v>47189.999999999985</v>
      </c>
      <c r="R11" s="94">
        <f t="shared" si="1"/>
        <v>49077.599999999984</v>
      </c>
    </row>
    <row r="12" spans="1:86" s="51" customFormat="1" x14ac:dyDescent="0.25">
      <c r="A12" s="1"/>
      <c r="B12" s="99" t="s">
        <v>8</v>
      </c>
      <c r="C12" s="100"/>
      <c r="D12" s="100">
        <f>(D11/C11)-1</f>
        <v>0.49547288652691668</v>
      </c>
      <c r="E12" s="100">
        <f>(E11/D11)-1</f>
        <v>-0.22983778092198348</v>
      </c>
      <c r="F12" s="100">
        <f>(F11/E11)-1</f>
        <v>-8.4209177134068169E-2</v>
      </c>
      <c r="G12" s="100">
        <f>(G11/F11)-1</f>
        <v>0.29251224632610207</v>
      </c>
      <c r="H12" s="100">
        <f>(H11/G11)-1</f>
        <v>0.11019671539433307</v>
      </c>
      <c r="I12" s="101">
        <v>-0.49801677612328499</v>
      </c>
      <c r="J12" s="102">
        <v>0.31541450777202074</v>
      </c>
      <c r="K12" s="102">
        <v>0.38995568685376658</v>
      </c>
      <c r="L12" s="102">
        <v>0.11795961742826777</v>
      </c>
      <c r="M12" s="102">
        <v>0.1368821292775666</v>
      </c>
      <c r="N12" s="102">
        <v>0.16917502787068006</v>
      </c>
      <c r="O12" s="102">
        <v>4.004767580452917E-2</v>
      </c>
      <c r="P12" s="102">
        <v>3.9880815952326287E-2</v>
      </c>
      <c r="Q12" s="102">
        <v>4.0114613180515679E-2</v>
      </c>
      <c r="R12" s="102">
        <v>0.04</v>
      </c>
    </row>
    <row r="13" spans="1:86" s="51" customFormat="1" x14ac:dyDescent="0.25">
      <c r="A13" s="1"/>
      <c r="B13" s="6"/>
      <c r="C13" s="1"/>
      <c r="D13" s="1"/>
      <c r="E13" s="1"/>
      <c r="F13" s="1"/>
      <c r="G13" s="1"/>
      <c r="H13" s="1"/>
      <c r="I13" s="85"/>
      <c r="J13" s="95"/>
      <c r="K13" s="95"/>
      <c r="L13" s="95"/>
      <c r="M13" s="95"/>
      <c r="N13" s="95"/>
      <c r="O13" s="95"/>
      <c r="P13" s="95"/>
      <c r="Q13" s="95"/>
      <c r="R13" s="95"/>
    </row>
    <row r="14" spans="1:86" s="51" customFormat="1" x14ac:dyDescent="0.25">
      <c r="A14" s="1"/>
      <c r="B14" s="1" t="s">
        <v>9</v>
      </c>
      <c r="C14" s="10">
        <f>'Raw IS'!J6</f>
        <v>11886</v>
      </c>
      <c r="D14" s="10">
        <f>'Raw IS'!K6</f>
        <v>12500</v>
      </c>
      <c r="E14" s="10">
        <f>'Raw IS'!L6</f>
        <v>12704</v>
      </c>
      <c r="F14" s="10">
        <f>'Raw IS'!D7</f>
        <v>14883</v>
      </c>
      <c r="G14" s="10">
        <f>'Raw IS'!E7</f>
        <v>17282</v>
      </c>
      <c r="H14" s="10">
        <f>'Raw IS'!F7</f>
        <v>16860</v>
      </c>
      <c r="I14" s="86">
        <f>I11-I16</f>
        <v>14729.76</v>
      </c>
      <c r="J14" s="87">
        <f t="shared" ref="J14:K14" si="2">J11-J16</f>
        <v>17369.112000000001</v>
      </c>
      <c r="K14" s="87">
        <f t="shared" si="2"/>
        <v>18897.162</v>
      </c>
      <c r="L14" s="87">
        <f t="shared" ref="L14:R14" si="3">L11-L16</f>
        <v>19725</v>
      </c>
      <c r="M14" s="87">
        <f t="shared" si="3"/>
        <v>23322</v>
      </c>
      <c r="N14" s="87">
        <f t="shared" si="3"/>
        <v>27267.5</v>
      </c>
      <c r="O14" s="87">
        <f t="shared" si="3"/>
        <v>28359.5</v>
      </c>
      <c r="P14" s="87">
        <f t="shared" si="3"/>
        <v>29490.499999999996</v>
      </c>
      <c r="Q14" s="87">
        <f t="shared" si="3"/>
        <v>30673.499999999993</v>
      </c>
      <c r="R14" s="87">
        <f t="shared" si="3"/>
        <v>31900.439999999991</v>
      </c>
    </row>
    <row r="15" spans="1:86" s="51" customFormat="1" x14ac:dyDescent="0.25">
      <c r="A15" s="1"/>
      <c r="B15" s="16"/>
      <c r="C15" s="16"/>
      <c r="D15" s="16"/>
      <c r="E15" s="16"/>
      <c r="F15" s="16"/>
      <c r="G15" s="16"/>
      <c r="H15" s="16"/>
      <c r="I15" s="85"/>
      <c r="J15" s="95"/>
      <c r="K15" s="95"/>
      <c r="L15" s="95"/>
      <c r="M15" s="95"/>
      <c r="N15" s="95"/>
      <c r="O15" s="95"/>
      <c r="P15" s="95"/>
      <c r="Q15" s="95"/>
      <c r="R15" s="95"/>
    </row>
    <row r="16" spans="1:86" s="51" customFormat="1" x14ac:dyDescent="0.25">
      <c r="A16" s="1"/>
      <c r="B16" s="1" t="s">
        <v>10</v>
      </c>
      <c r="C16" s="10">
        <f t="shared" ref="C16:H16" si="4">C11-C14</f>
        <v>8436</v>
      </c>
      <c r="D16" s="10">
        <f t="shared" si="4"/>
        <v>17891</v>
      </c>
      <c r="E16" s="10">
        <f t="shared" si="4"/>
        <v>10702</v>
      </c>
      <c r="F16" s="10">
        <f t="shared" si="4"/>
        <v>6552</v>
      </c>
      <c r="G16" s="10">
        <f t="shared" si="4"/>
        <v>10423</v>
      </c>
      <c r="H16" s="10">
        <f t="shared" si="4"/>
        <v>13898</v>
      </c>
      <c r="I16" s="83">
        <f>I11*I17</f>
        <v>710.24</v>
      </c>
      <c r="J16" s="94">
        <f t="shared" ref="J16:R16" si="5">J11*J17</f>
        <v>2940.8880000000004</v>
      </c>
      <c r="K16" s="94">
        <f t="shared" si="5"/>
        <v>9332.8379999999997</v>
      </c>
      <c r="L16" s="94">
        <f t="shared" si="5"/>
        <v>11835</v>
      </c>
      <c r="M16" s="94">
        <f t="shared" si="5"/>
        <v>12558</v>
      </c>
      <c r="N16" s="94">
        <f t="shared" si="5"/>
        <v>14682.499999999998</v>
      </c>
      <c r="O16" s="94">
        <f t="shared" si="5"/>
        <v>15270.499999999998</v>
      </c>
      <c r="P16" s="94">
        <f t="shared" si="5"/>
        <v>15879.499999999996</v>
      </c>
      <c r="Q16" s="94">
        <f t="shared" si="5"/>
        <v>16516.499999999993</v>
      </c>
      <c r="R16" s="94">
        <f t="shared" si="5"/>
        <v>17177.159999999993</v>
      </c>
    </row>
    <row r="17" spans="1:18" s="51" customFormat="1" x14ac:dyDescent="0.25">
      <c r="A17" s="1"/>
      <c r="B17" s="99" t="s">
        <v>11</v>
      </c>
      <c r="C17" s="100">
        <f t="shared" ref="C17:H17" si="6">C16/C11</f>
        <v>0.41511662237968705</v>
      </c>
      <c r="D17" s="100">
        <f t="shared" si="6"/>
        <v>0.588694021256293</v>
      </c>
      <c r="E17" s="100">
        <f t="shared" si="6"/>
        <v>0.45723318807143465</v>
      </c>
      <c r="F17" s="100">
        <f t="shared" si="6"/>
        <v>0.30566829951014696</v>
      </c>
      <c r="G17" s="100">
        <f t="shared" si="6"/>
        <v>0.37621367984118392</v>
      </c>
      <c r="H17" s="100">
        <f t="shared" si="6"/>
        <v>0.45184992522270628</v>
      </c>
      <c r="I17" s="103">
        <v>4.5999999999999999E-2</v>
      </c>
      <c r="J17" s="104">
        <v>0.14480000000000001</v>
      </c>
      <c r="K17" s="104">
        <v>0.3306</v>
      </c>
      <c r="L17" s="104">
        <v>0.375</v>
      </c>
      <c r="M17" s="104">
        <v>0.35</v>
      </c>
      <c r="N17" s="104">
        <v>0.35</v>
      </c>
      <c r="O17" s="104">
        <v>0.35</v>
      </c>
      <c r="P17" s="104">
        <v>0.35</v>
      </c>
      <c r="Q17" s="104">
        <v>0.35</v>
      </c>
      <c r="R17" s="104">
        <v>0.35</v>
      </c>
    </row>
    <row r="18" spans="1:18" s="51" customFormat="1" x14ac:dyDescent="0.25">
      <c r="A18" s="1"/>
      <c r="B18" s="6"/>
      <c r="C18" s="1"/>
      <c r="D18" s="1"/>
      <c r="E18" s="1"/>
      <c r="F18" s="1"/>
      <c r="G18" s="1"/>
      <c r="H18" s="1"/>
      <c r="I18" s="85"/>
      <c r="J18" s="95"/>
      <c r="K18" s="95"/>
      <c r="L18" s="95"/>
      <c r="M18" s="95"/>
      <c r="N18" s="95"/>
      <c r="O18" s="95"/>
      <c r="P18" s="95"/>
      <c r="Q18" s="95"/>
      <c r="R18" s="95"/>
    </row>
    <row r="19" spans="1:18" s="51" customFormat="1" x14ac:dyDescent="0.25">
      <c r="A19" s="1"/>
      <c r="B19" s="1" t="s">
        <v>12</v>
      </c>
      <c r="C19" s="10">
        <f>'Raw IS'!J10</f>
        <v>1824</v>
      </c>
      <c r="D19" s="10">
        <f>'Raw IS'!K10</f>
        <v>2141</v>
      </c>
      <c r="E19" s="10">
        <f>'Raw IS'!L10</f>
        <v>2441</v>
      </c>
      <c r="F19" s="10">
        <f>'Raw IS'!D10</f>
        <v>2600</v>
      </c>
      <c r="G19" s="10">
        <f>'Raw IS'!E10</f>
        <v>2663</v>
      </c>
      <c r="H19" s="10">
        <f>'Raw IS'!F10</f>
        <v>3116</v>
      </c>
      <c r="I19" s="83">
        <f>I20*I11</f>
        <v>4601.12</v>
      </c>
      <c r="J19" s="94">
        <f t="shared" ref="J19:R19" si="7">J20*J11</f>
        <v>3452.7000000000003</v>
      </c>
      <c r="K19" s="94">
        <f t="shared" si="7"/>
        <v>2851.23</v>
      </c>
      <c r="L19" s="94">
        <f t="shared" si="7"/>
        <v>3629.4</v>
      </c>
      <c r="M19" s="94">
        <f t="shared" si="7"/>
        <v>3588</v>
      </c>
      <c r="N19" s="94">
        <f t="shared" si="7"/>
        <v>4404.75</v>
      </c>
      <c r="O19" s="94">
        <f t="shared" si="7"/>
        <v>4581.1499999999996</v>
      </c>
      <c r="P19" s="94">
        <f t="shared" si="7"/>
        <v>4763.8499999999995</v>
      </c>
      <c r="Q19" s="94">
        <f t="shared" si="7"/>
        <v>4954.949999999998</v>
      </c>
      <c r="R19" s="94">
        <f t="shared" si="7"/>
        <v>5153.1479999999983</v>
      </c>
    </row>
    <row r="20" spans="1:18" s="51" customFormat="1" x14ac:dyDescent="0.25">
      <c r="A20" s="1"/>
      <c r="B20" s="99" t="s">
        <v>20</v>
      </c>
      <c r="C20" s="100">
        <f>C19/C11</f>
        <v>8.9754945379391798E-2</v>
      </c>
      <c r="D20" s="100">
        <f t="shared" ref="D20:H20" si="8">D19/D11</f>
        <v>7.0448488039222143E-2</v>
      </c>
      <c r="E20" s="100">
        <f t="shared" si="8"/>
        <v>0.10428949841920875</v>
      </c>
      <c r="F20" s="100">
        <f t="shared" si="8"/>
        <v>0.12129694425005831</v>
      </c>
      <c r="G20" s="100">
        <f t="shared" si="8"/>
        <v>9.6119833964988272E-2</v>
      </c>
      <c r="H20" s="100">
        <f t="shared" si="8"/>
        <v>0.10130697704662202</v>
      </c>
      <c r="I20" s="101">
        <v>0.29799999999999999</v>
      </c>
      <c r="J20" s="102">
        <v>0.17</v>
      </c>
      <c r="K20" s="102">
        <v>0.10100000000000001</v>
      </c>
      <c r="L20" s="102">
        <v>0.115</v>
      </c>
      <c r="M20" s="102">
        <v>0.1</v>
      </c>
      <c r="N20" s="102">
        <v>0.105</v>
      </c>
      <c r="O20" s="102">
        <v>0.105</v>
      </c>
      <c r="P20" s="102">
        <v>0.105</v>
      </c>
      <c r="Q20" s="102">
        <v>0.105</v>
      </c>
      <c r="R20" s="102">
        <v>0.105</v>
      </c>
    </row>
    <row r="21" spans="1:18" s="51" customFormat="1" x14ac:dyDescent="0.25">
      <c r="A21" s="1"/>
      <c r="B21" s="1"/>
      <c r="C21" s="10"/>
      <c r="D21" s="10"/>
      <c r="E21" s="10"/>
      <c r="F21" s="10"/>
      <c r="G21" s="10"/>
      <c r="H21" s="10"/>
      <c r="I21" s="83"/>
      <c r="J21" s="94"/>
      <c r="K21" s="94"/>
      <c r="L21" s="94"/>
      <c r="M21" s="94"/>
      <c r="N21" s="94"/>
      <c r="O21" s="94"/>
      <c r="P21" s="94"/>
      <c r="Q21" s="94"/>
      <c r="R21" s="94"/>
    </row>
    <row r="22" spans="1:18" s="51" customFormat="1" x14ac:dyDescent="0.25">
      <c r="A22" s="1"/>
      <c r="B22" s="1" t="s">
        <v>54</v>
      </c>
      <c r="C22" s="10">
        <f>'Raw IS'!J9</f>
        <v>743</v>
      </c>
      <c r="D22" s="10">
        <f>'Raw IS'!K9</f>
        <v>813</v>
      </c>
      <c r="E22" s="10">
        <f>'Raw IS'!L9</f>
        <v>836</v>
      </c>
      <c r="F22" s="10">
        <f>'Raw IS'!D11</f>
        <v>881</v>
      </c>
      <c r="G22" s="10">
        <f>'Raw IS'!E11</f>
        <v>894</v>
      </c>
      <c r="H22" s="10">
        <f>'Raw IS'!F11</f>
        <v>1066</v>
      </c>
      <c r="I22" s="83">
        <f>I23*I11</f>
        <v>1389.6</v>
      </c>
      <c r="J22" s="94">
        <f t="shared" ref="J22:R22" si="9">J23*J11</f>
        <v>710.85</v>
      </c>
      <c r="K22" s="94">
        <f t="shared" si="9"/>
        <v>846.9</v>
      </c>
      <c r="L22" s="94">
        <f t="shared" si="9"/>
        <v>1230.8399999999999</v>
      </c>
      <c r="M22" s="94">
        <f t="shared" si="9"/>
        <v>825.24</v>
      </c>
      <c r="N22" s="94">
        <f t="shared" si="9"/>
        <v>1594.1</v>
      </c>
      <c r="O22" s="94">
        <f t="shared" si="9"/>
        <v>1657.94</v>
      </c>
      <c r="P22" s="94">
        <f t="shared" si="9"/>
        <v>1724.0599999999997</v>
      </c>
      <c r="Q22" s="94">
        <f t="shared" si="9"/>
        <v>1793.2199999999993</v>
      </c>
      <c r="R22" s="94">
        <f t="shared" si="9"/>
        <v>1864.9487999999994</v>
      </c>
    </row>
    <row r="23" spans="1:18" s="51" customFormat="1" x14ac:dyDescent="0.25">
      <c r="A23" s="1"/>
      <c r="B23" s="99" t="s">
        <v>20</v>
      </c>
      <c r="C23" s="100">
        <f>C22/C11</f>
        <v>3.6561362070662337E-2</v>
      </c>
      <c r="D23" s="100">
        <f t="shared" ref="D23:H23" si="10">D22/D11</f>
        <v>2.6751340857490705E-2</v>
      </c>
      <c r="E23" s="100">
        <f t="shared" si="10"/>
        <v>3.5717337434845765E-2</v>
      </c>
      <c r="F23" s="100">
        <f t="shared" si="10"/>
        <v>4.1101003032423609E-2</v>
      </c>
      <c r="G23" s="100">
        <f t="shared" si="10"/>
        <v>3.2268543584190582E-2</v>
      </c>
      <c r="H23" s="100">
        <f t="shared" si="10"/>
        <v>3.4657650042265425E-2</v>
      </c>
      <c r="I23" s="101">
        <v>0.09</v>
      </c>
      <c r="J23" s="102">
        <v>3.5000000000000003E-2</v>
      </c>
      <c r="K23" s="102">
        <v>0.03</v>
      </c>
      <c r="L23" s="102">
        <v>3.9E-2</v>
      </c>
      <c r="M23" s="102">
        <v>2.3E-2</v>
      </c>
      <c r="N23" s="102">
        <v>3.7999999999999999E-2</v>
      </c>
      <c r="O23" s="102">
        <v>3.7999999999999999E-2</v>
      </c>
      <c r="P23" s="102">
        <v>3.7999999999999999E-2</v>
      </c>
      <c r="Q23" s="102">
        <v>3.7999999999999999E-2</v>
      </c>
      <c r="R23" s="102">
        <v>3.7999999999999999E-2</v>
      </c>
    </row>
    <row r="24" spans="1:18" s="51" customFormat="1" x14ac:dyDescent="0.25">
      <c r="A24" s="1"/>
      <c r="B24" s="1"/>
      <c r="C24" s="18"/>
      <c r="D24" s="18"/>
      <c r="E24" s="18"/>
      <c r="F24" s="18"/>
      <c r="G24" s="18"/>
      <c r="H24" s="18"/>
      <c r="I24" s="88"/>
      <c r="J24" s="94"/>
      <c r="K24" s="94"/>
      <c r="L24" s="94"/>
      <c r="M24" s="94"/>
      <c r="N24" s="94"/>
      <c r="O24" s="94"/>
      <c r="P24" s="94"/>
      <c r="Q24" s="94"/>
      <c r="R24" s="94"/>
    </row>
    <row r="25" spans="1:18" s="51" customFormat="1" x14ac:dyDescent="0.25">
      <c r="A25" s="1"/>
      <c r="B25" s="1" t="s">
        <v>13</v>
      </c>
      <c r="C25" s="10">
        <f>'Raw IS'!J11</f>
        <v>1</v>
      </c>
      <c r="D25" s="10">
        <f>'Raw IS'!K11</f>
        <v>-57</v>
      </c>
      <c r="E25" s="10">
        <f>'Raw IS'!L11</f>
        <v>49</v>
      </c>
      <c r="F25" s="10">
        <f>'Raw IS'!D12+'Raw IS'!D13</f>
        <v>68</v>
      </c>
      <c r="G25" s="10">
        <f>'Raw IS'!E12+'Raw IS'!E13</f>
        <v>583</v>
      </c>
      <c r="H25" s="10">
        <f>'Raw IS'!F12+'Raw IS'!F13</f>
        <v>14</v>
      </c>
      <c r="I25" s="89">
        <f>I26*I11</f>
        <v>617.6</v>
      </c>
      <c r="J25" s="96">
        <f t="shared" ref="J25:R25" si="11">J26*J11</f>
        <v>81.239999999999995</v>
      </c>
      <c r="K25" s="96">
        <f t="shared" si="11"/>
        <v>28.23</v>
      </c>
      <c r="L25" s="96">
        <f t="shared" si="11"/>
        <v>31.560000000000002</v>
      </c>
      <c r="M25" s="96">
        <f t="shared" si="11"/>
        <v>35.880000000000003</v>
      </c>
      <c r="N25" s="96">
        <f t="shared" si="11"/>
        <v>41.95</v>
      </c>
      <c r="O25" s="96">
        <f t="shared" si="11"/>
        <v>43.63</v>
      </c>
      <c r="P25" s="96">
        <f t="shared" si="11"/>
        <v>45.36999999999999</v>
      </c>
      <c r="Q25" s="96">
        <f t="shared" si="11"/>
        <v>47.189999999999984</v>
      </c>
      <c r="R25" s="96">
        <f t="shared" si="11"/>
        <v>49.077599999999983</v>
      </c>
    </row>
    <row r="26" spans="1:18" s="51" customFormat="1" x14ac:dyDescent="0.25">
      <c r="A26" s="1"/>
      <c r="B26" s="99" t="s">
        <v>20</v>
      </c>
      <c r="C26" s="100">
        <f>C25/C11</f>
        <v>4.9207755142210412E-5</v>
      </c>
      <c r="D26" s="100">
        <f t="shared" ref="D26:H26" si="12">D25/D11</f>
        <v>-1.875555263071304E-3</v>
      </c>
      <c r="E26" s="100">
        <f t="shared" si="12"/>
        <v>2.0934803041955056E-3</v>
      </c>
      <c r="F26" s="100">
        <f t="shared" si="12"/>
        <v>3.172381618847679E-3</v>
      </c>
      <c r="G26" s="100">
        <f t="shared" si="12"/>
        <v>2.1043133008482224E-2</v>
      </c>
      <c r="H26" s="100">
        <f t="shared" si="12"/>
        <v>4.5516613563950843E-4</v>
      </c>
      <c r="I26" s="101">
        <v>0.04</v>
      </c>
      <c r="J26" s="102">
        <v>4.0000000000000001E-3</v>
      </c>
      <c r="K26" s="102">
        <v>1E-3</v>
      </c>
      <c r="L26" s="102">
        <v>1E-3</v>
      </c>
      <c r="M26" s="102">
        <v>1E-3</v>
      </c>
      <c r="N26" s="102">
        <v>1E-3</v>
      </c>
      <c r="O26" s="102">
        <v>1E-3</v>
      </c>
      <c r="P26" s="102">
        <v>1E-3</v>
      </c>
      <c r="Q26" s="102">
        <v>1E-3</v>
      </c>
      <c r="R26" s="102">
        <v>1E-3</v>
      </c>
    </row>
    <row r="27" spans="1:18" s="51" customFormat="1" x14ac:dyDescent="0.25">
      <c r="A27" s="1"/>
      <c r="B27" s="12"/>
      <c r="C27" s="10"/>
      <c r="D27" s="10"/>
      <c r="E27" s="10"/>
      <c r="F27" s="10"/>
      <c r="G27" s="10"/>
      <c r="H27" s="10"/>
      <c r="I27" s="89"/>
      <c r="J27" s="96"/>
      <c r="K27" s="96"/>
      <c r="L27" s="96"/>
      <c r="M27" s="96"/>
      <c r="N27" s="96"/>
      <c r="O27" s="96"/>
      <c r="P27" s="96"/>
      <c r="Q27" s="96"/>
      <c r="R27" s="96"/>
    </row>
    <row r="28" spans="1:18" s="51" customFormat="1" x14ac:dyDescent="0.25">
      <c r="A28" s="1"/>
      <c r="B28" s="1" t="s">
        <v>14</v>
      </c>
      <c r="C28" s="10">
        <f>C19+C22+C25</f>
        <v>2568</v>
      </c>
      <c r="D28" s="10">
        <f>D19+D22+D25</f>
        <v>2897</v>
      </c>
      <c r="E28" s="10">
        <f>E19+E22+E25</f>
        <v>3326</v>
      </c>
      <c r="F28" s="10">
        <f>F19+F22+F25</f>
        <v>3549</v>
      </c>
      <c r="G28" s="10">
        <f>G19+G22+G25</f>
        <v>4140</v>
      </c>
      <c r="H28" s="10">
        <f>H19+H22+H25</f>
        <v>4196</v>
      </c>
      <c r="I28" s="89">
        <f t="shared" ref="I28:R28" si="13">I19+I22+I25</f>
        <v>6608.32</v>
      </c>
      <c r="J28" s="96">
        <f t="shared" si="13"/>
        <v>4244.79</v>
      </c>
      <c r="K28" s="96">
        <f t="shared" si="13"/>
        <v>3726.36</v>
      </c>
      <c r="L28" s="96">
        <f t="shared" si="13"/>
        <v>4891.8</v>
      </c>
      <c r="M28" s="96">
        <f t="shared" si="13"/>
        <v>4449.12</v>
      </c>
      <c r="N28" s="96">
        <f t="shared" si="13"/>
        <v>6040.8</v>
      </c>
      <c r="O28" s="96">
        <f t="shared" si="13"/>
        <v>6282.72</v>
      </c>
      <c r="P28" s="96">
        <f t="shared" si="13"/>
        <v>6533.2799999999988</v>
      </c>
      <c r="Q28" s="96">
        <f t="shared" si="13"/>
        <v>6795.3599999999969</v>
      </c>
      <c r="R28" s="96">
        <f t="shared" si="13"/>
        <v>7067.1743999999971</v>
      </c>
    </row>
    <row r="29" spans="1:18" s="51" customFormat="1" x14ac:dyDescent="0.25">
      <c r="A29" s="1"/>
      <c r="B29" s="105" t="s">
        <v>15</v>
      </c>
      <c r="C29" s="100">
        <f>C28/C11</f>
        <v>0.12636551520519634</v>
      </c>
      <c r="D29" s="100">
        <f>D28/D11</f>
        <v>9.5324273633641543E-2</v>
      </c>
      <c r="E29" s="100">
        <f>E28/E11</f>
        <v>0.14210031615825003</v>
      </c>
      <c r="F29" s="100">
        <f>F28/F11</f>
        <v>0.16557032890132961</v>
      </c>
      <c r="G29" s="100">
        <f>G28/G11</f>
        <v>0.14943151055766107</v>
      </c>
      <c r="H29" s="100">
        <f>H28/H11</f>
        <v>0.13641979322452696</v>
      </c>
      <c r="I29" s="101">
        <f>I28/I11</f>
        <v>0.42799999999999999</v>
      </c>
      <c r="J29" s="102">
        <f>J28/J11</f>
        <v>0.20899999999999999</v>
      </c>
      <c r="K29" s="102">
        <f>K28/K11</f>
        <v>0.13200000000000001</v>
      </c>
      <c r="L29" s="102">
        <f>L28/L11</f>
        <v>0.155</v>
      </c>
      <c r="M29" s="102">
        <f>M28/M11</f>
        <v>0.124</v>
      </c>
      <c r="N29" s="102">
        <f>N28/N11</f>
        <v>0.14400000000000002</v>
      </c>
      <c r="O29" s="102">
        <f>O28/O11</f>
        <v>0.14400000000000002</v>
      </c>
      <c r="P29" s="102">
        <f>P28/P11</f>
        <v>0.14399999999999999</v>
      </c>
      <c r="Q29" s="102">
        <f>Q28/Q11</f>
        <v>0.14399999999999999</v>
      </c>
      <c r="R29" s="102">
        <f>R28/R11</f>
        <v>0.14399999999999999</v>
      </c>
    </row>
    <row r="30" spans="1:18" s="51" customFormat="1" x14ac:dyDescent="0.25">
      <c r="A30" s="1"/>
      <c r="B30" s="1"/>
      <c r="C30" s="13"/>
      <c r="D30" s="13"/>
      <c r="E30" s="13"/>
      <c r="F30" s="13"/>
      <c r="G30" s="13"/>
      <c r="H30" s="13"/>
      <c r="I30" s="84"/>
      <c r="J30" s="90"/>
      <c r="K30" s="90"/>
      <c r="L30" s="90"/>
      <c r="M30" s="90"/>
      <c r="N30" s="90"/>
      <c r="O30" s="90"/>
      <c r="P30" s="90"/>
      <c r="Q30" s="90"/>
      <c r="R30" s="90"/>
    </row>
    <row r="31" spans="1:18" s="51" customFormat="1" x14ac:dyDescent="0.25">
      <c r="A31" s="1"/>
      <c r="B31" s="1" t="s">
        <v>16</v>
      </c>
      <c r="C31" s="10">
        <f>C16-C28</f>
        <v>5868</v>
      </c>
      <c r="D31" s="10">
        <f>D16-D28</f>
        <v>14994</v>
      </c>
      <c r="E31" s="10">
        <f>E16-E28</f>
        <v>7376</v>
      </c>
      <c r="F31" s="10">
        <f>F16-F28</f>
        <v>3003</v>
      </c>
      <c r="G31" s="10">
        <f>G16-G28</f>
        <v>6283</v>
      </c>
      <c r="H31" s="10">
        <f>H16-H28</f>
        <v>9702</v>
      </c>
      <c r="I31" s="89">
        <f t="shared" ref="I31:R31" si="14">I16-I28</f>
        <v>-5898.08</v>
      </c>
      <c r="J31" s="96">
        <f t="shared" si="14"/>
        <v>-1303.9019999999996</v>
      </c>
      <c r="K31" s="96">
        <f t="shared" si="14"/>
        <v>5606.4779999999992</v>
      </c>
      <c r="L31" s="96">
        <f t="shared" si="14"/>
        <v>6943.2</v>
      </c>
      <c r="M31" s="96">
        <f t="shared" si="14"/>
        <v>8108.88</v>
      </c>
      <c r="N31" s="96">
        <f t="shared" si="14"/>
        <v>8641.6999999999971</v>
      </c>
      <c r="O31" s="96">
        <f t="shared" si="14"/>
        <v>8987.7799999999988</v>
      </c>
      <c r="P31" s="96">
        <f t="shared" si="14"/>
        <v>9346.2199999999975</v>
      </c>
      <c r="Q31" s="96">
        <f t="shared" si="14"/>
        <v>9721.1399999999958</v>
      </c>
      <c r="R31" s="96">
        <f t="shared" si="14"/>
        <v>10109.985599999996</v>
      </c>
    </row>
    <row r="32" spans="1:18" s="51" customFormat="1" x14ac:dyDescent="0.25">
      <c r="A32" s="1"/>
      <c r="B32" s="1" t="s">
        <v>17</v>
      </c>
      <c r="C32" s="80">
        <f>SUM('Raw IS'!J14:J16)</f>
        <v>-672</v>
      </c>
      <c r="D32" s="80">
        <f>SUM('Raw IS'!K14:K16)</f>
        <v>-687</v>
      </c>
      <c r="E32" s="80">
        <f>SUM('Raw IS'!L14:L16)</f>
        <v>-328</v>
      </c>
      <c r="F32" s="81">
        <f>SUM('Raw IS'!D16:D18)</f>
        <v>-20</v>
      </c>
      <c r="G32" s="81">
        <f>SUM('Raw IS'!E16:E18)</f>
        <v>-65</v>
      </c>
      <c r="H32" s="81">
        <f>SUM('Raw IS'!F16:F18)</f>
        <v>-131</v>
      </c>
      <c r="I32" s="83">
        <f>I33*I11</f>
        <v>-463.2</v>
      </c>
      <c r="J32" s="94">
        <f t="shared" ref="J32:R32" si="15">J33*J11</f>
        <v>-101.55</v>
      </c>
      <c r="K32" s="94">
        <f t="shared" si="15"/>
        <v>-141.15</v>
      </c>
      <c r="L32" s="94">
        <f t="shared" si="15"/>
        <v>-157.80000000000001</v>
      </c>
      <c r="M32" s="94">
        <f t="shared" si="15"/>
        <v>-179.4</v>
      </c>
      <c r="N32" s="94">
        <f t="shared" si="15"/>
        <v>-209.75</v>
      </c>
      <c r="O32" s="94">
        <f t="shared" si="15"/>
        <v>-218.15</v>
      </c>
      <c r="P32" s="94">
        <f t="shared" si="15"/>
        <v>-226.84999999999997</v>
      </c>
      <c r="Q32" s="94">
        <f t="shared" si="15"/>
        <v>-235.94999999999993</v>
      </c>
      <c r="R32" s="94">
        <f t="shared" si="15"/>
        <v>-245.38799999999992</v>
      </c>
    </row>
    <row r="33" spans="1:86" s="51" customFormat="1" x14ac:dyDescent="0.25">
      <c r="A33" s="1"/>
      <c r="B33" s="99" t="s">
        <v>20</v>
      </c>
      <c r="C33" s="100">
        <f>C32/C11</f>
        <v>-3.3067611455565395E-2</v>
      </c>
      <c r="D33" s="100">
        <f t="shared" ref="D33:H33" si="16">D32/D11</f>
        <v>-2.2605376591754139E-2</v>
      </c>
      <c r="E33" s="100">
        <f t="shared" si="16"/>
        <v>-1.401350081175767E-2</v>
      </c>
      <c r="F33" s="100">
        <f t="shared" si="16"/>
        <v>-9.3305341730814094E-4</v>
      </c>
      <c r="G33" s="100">
        <f t="shared" si="16"/>
        <v>-2.3461469048908141E-3</v>
      </c>
      <c r="H33" s="100">
        <f t="shared" si="16"/>
        <v>-4.259054554912543E-3</v>
      </c>
      <c r="I33" s="103">
        <v>-0.03</v>
      </c>
      <c r="J33" s="104">
        <v>-5.0000000000000001E-3</v>
      </c>
      <c r="K33" s="104">
        <v>-5.0000000000000001E-3</v>
      </c>
      <c r="L33" s="104">
        <v>-5.0000000000000001E-3</v>
      </c>
      <c r="M33" s="104">
        <v>-5.0000000000000001E-3</v>
      </c>
      <c r="N33" s="104">
        <v>-5.0000000000000001E-3</v>
      </c>
      <c r="O33" s="104">
        <v>-5.0000000000000001E-3</v>
      </c>
      <c r="P33" s="104">
        <v>-5.0000000000000001E-3</v>
      </c>
      <c r="Q33" s="104">
        <v>-5.0000000000000001E-3</v>
      </c>
      <c r="R33" s="104">
        <v>-5.0000000000000001E-3</v>
      </c>
    </row>
    <row r="34" spans="1:86" s="51" customFormat="1" x14ac:dyDescent="0.25">
      <c r="A34" s="1"/>
      <c r="B34" s="1"/>
      <c r="C34" s="19"/>
      <c r="D34" s="19"/>
      <c r="E34" s="19"/>
      <c r="F34" s="19"/>
      <c r="G34" s="19"/>
      <c r="H34" s="19"/>
      <c r="I34" s="85"/>
      <c r="J34" s="95"/>
      <c r="K34" s="95"/>
      <c r="L34" s="95"/>
      <c r="M34" s="95"/>
      <c r="N34" s="95"/>
      <c r="O34" s="95"/>
      <c r="P34" s="95"/>
      <c r="Q34" s="95"/>
      <c r="R34" s="95"/>
    </row>
    <row r="35" spans="1:86" s="51" customFormat="1" x14ac:dyDescent="0.25">
      <c r="A35" s="1"/>
      <c r="B35" s="1" t="s">
        <v>18</v>
      </c>
      <c r="C35" s="10">
        <f>C31+C32</f>
        <v>5196</v>
      </c>
      <c r="D35" s="10">
        <f t="shared" ref="D35:R35" si="17">D31+D32</f>
        <v>14307</v>
      </c>
      <c r="E35" s="10">
        <f t="shared" si="17"/>
        <v>7048</v>
      </c>
      <c r="F35" s="10">
        <f t="shared" si="17"/>
        <v>2983</v>
      </c>
      <c r="G35" s="10">
        <f t="shared" si="17"/>
        <v>6218</v>
      </c>
      <c r="H35" s="10">
        <f t="shared" si="17"/>
        <v>9571</v>
      </c>
      <c r="I35" s="89">
        <f t="shared" si="17"/>
        <v>-6361.28</v>
      </c>
      <c r="J35" s="96">
        <f t="shared" si="17"/>
        <v>-1405.4519999999995</v>
      </c>
      <c r="K35" s="96">
        <f t="shared" si="17"/>
        <v>5465.3279999999995</v>
      </c>
      <c r="L35" s="96">
        <f t="shared" si="17"/>
        <v>6785.4</v>
      </c>
      <c r="M35" s="96">
        <f t="shared" si="17"/>
        <v>7929.4800000000005</v>
      </c>
      <c r="N35" s="96">
        <f t="shared" si="17"/>
        <v>8431.9499999999971</v>
      </c>
      <c r="O35" s="96">
        <f t="shared" si="17"/>
        <v>8769.6299999999992</v>
      </c>
      <c r="P35" s="96">
        <f t="shared" si="17"/>
        <v>9119.3699999999972</v>
      </c>
      <c r="Q35" s="96">
        <f t="shared" si="17"/>
        <v>9485.1899999999951</v>
      </c>
      <c r="R35" s="96">
        <f t="shared" si="17"/>
        <v>9864.5975999999973</v>
      </c>
    </row>
    <row r="36" spans="1:86" s="51" customFormat="1" x14ac:dyDescent="0.25">
      <c r="A36" s="1"/>
      <c r="B36" s="1"/>
      <c r="C36" s="19"/>
      <c r="D36" s="19"/>
      <c r="E36" s="19"/>
      <c r="F36" s="19"/>
      <c r="G36" s="19"/>
      <c r="H36" s="19"/>
      <c r="I36" s="85"/>
      <c r="J36" s="95"/>
      <c r="K36" s="95"/>
      <c r="L36" s="95"/>
      <c r="M36" s="95"/>
      <c r="N36" s="95"/>
      <c r="O36" s="95"/>
      <c r="P36" s="95"/>
      <c r="Q36" s="95"/>
      <c r="R36" s="95"/>
    </row>
    <row r="37" spans="1:86" s="51" customFormat="1" x14ac:dyDescent="0.25">
      <c r="A37" s="1"/>
      <c r="B37" s="1" t="s">
        <v>19</v>
      </c>
      <c r="C37" s="10">
        <f>C31</f>
        <v>5868</v>
      </c>
      <c r="D37" s="10">
        <f t="shared" ref="D37:H37" si="18">D31</f>
        <v>14994</v>
      </c>
      <c r="E37" s="10">
        <f t="shared" si="18"/>
        <v>7376</v>
      </c>
      <c r="F37" s="10">
        <f t="shared" si="18"/>
        <v>3003</v>
      </c>
      <c r="G37" s="10">
        <f t="shared" si="18"/>
        <v>6283</v>
      </c>
      <c r="H37" s="10">
        <f t="shared" si="18"/>
        <v>9702</v>
      </c>
      <c r="I37" s="89">
        <f t="shared" ref="I37:R37" si="19">I31</f>
        <v>-5898.08</v>
      </c>
      <c r="J37" s="96">
        <f t="shared" si="19"/>
        <v>-1303.9019999999996</v>
      </c>
      <c r="K37" s="96">
        <f t="shared" si="19"/>
        <v>5606.4779999999992</v>
      </c>
      <c r="L37" s="96">
        <f t="shared" si="19"/>
        <v>6943.2</v>
      </c>
      <c r="M37" s="96">
        <f t="shared" si="19"/>
        <v>8108.88</v>
      </c>
      <c r="N37" s="96">
        <f t="shared" si="19"/>
        <v>8641.6999999999971</v>
      </c>
      <c r="O37" s="96">
        <f t="shared" si="19"/>
        <v>8987.7799999999988</v>
      </c>
      <c r="P37" s="96">
        <f t="shared" si="19"/>
        <v>9346.2199999999975</v>
      </c>
      <c r="Q37" s="96">
        <f t="shared" si="19"/>
        <v>9721.1399999999958</v>
      </c>
      <c r="R37" s="96">
        <f t="shared" si="19"/>
        <v>10109.985599999996</v>
      </c>
    </row>
    <row r="38" spans="1:86" s="51" customFormat="1" x14ac:dyDescent="0.25">
      <c r="A38" s="1"/>
      <c r="B38" s="99" t="s">
        <v>20</v>
      </c>
      <c r="C38" s="100">
        <f>C37/C11</f>
        <v>0.28875110717449071</v>
      </c>
      <c r="D38" s="100">
        <f>D37/D11</f>
        <v>0.49336974762265146</v>
      </c>
      <c r="E38" s="100">
        <f>E37/E11</f>
        <v>0.31513287191318468</v>
      </c>
      <c r="F38" s="100">
        <f>F37/F11</f>
        <v>0.14009797060881735</v>
      </c>
      <c r="G38" s="100">
        <f>G37/G11</f>
        <v>0.22678216928352282</v>
      </c>
      <c r="H38" s="100">
        <f>H37/H11</f>
        <v>0.31543013199817932</v>
      </c>
      <c r="I38" s="101">
        <f>I37/I11</f>
        <v>-0.38200000000000001</v>
      </c>
      <c r="J38" s="102">
        <f>J37/J11</f>
        <v>-6.4199999999999979E-2</v>
      </c>
      <c r="K38" s="102">
        <f>K37/K11</f>
        <v>0.19859999999999997</v>
      </c>
      <c r="L38" s="102">
        <f>L37/L11</f>
        <v>0.22</v>
      </c>
      <c r="M38" s="102">
        <f>M37/M11</f>
        <v>0.22600000000000001</v>
      </c>
      <c r="N38" s="102">
        <f>N37/N11</f>
        <v>0.20599999999999993</v>
      </c>
      <c r="O38" s="102">
        <f>O37/O11</f>
        <v>0.20599999999999996</v>
      </c>
      <c r="P38" s="102">
        <f>P37/P11</f>
        <v>0.20599999999999999</v>
      </c>
      <c r="Q38" s="102">
        <f>Q37/Q11</f>
        <v>0.20599999999999996</v>
      </c>
      <c r="R38" s="102">
        <f>R37/R11</f>
        <v>0.20599999999999999</v>
      </c>
    </row>
    <row r="39" spans="1:86" s="51" customFormat="1" x14ac:dyDescent="0.25">
      <c r="A39" s="1"/>
      <c r="B39" s="12"/>
      <c r="C39" s="1"/>
      <c r="D39" s="1"/>
      <c r="E39" s="1"/>
      <c r="F39" s="2"/>
      <c r="G39" s="1"/>
      <c r="H39" s="1"/>
      <c r="I39" s="85"/>
      <c r="J39" s="95"/>
      <c r="K39" s="95"/>
      <c r="L39" s="95"/>
      <c r="M39" s="95"/>
      <c r="N39" s="95"/>
      <c r="O39" s="95"/>
      <c r="P39" s="95"/>
      <c r="Q39" s="95"/>
      <c r="R39" s="95"/>
    </row>
    <row r="40" spans="1:86" s="51" customFormat="1" x14ac:dyDescent="0.25">
      <c r="A40" s="1"/>
      <c r="B40" s="1" t="s">
        <v>21</v>
      </c>
      <c r="C40" s="17">
        <f>'Raw IS'!J19</f>
        <v>-114</v>
      </c>
      <c r="D40" s="17">
        <f>'Raw IS'!K19</f>
        <v>-168</v>
      </c>
      <c r="E40" s="17">
        <f>'Raw IS'!L19</f>
        <v>-693</v>
      </c>
      <c r="F40" s="20">
        <f>'Raw IS'!D21</f>
        <v>-280</v>
      </c>
      <c r="G40" s="20">
        <f>'Raw IS'!E21</f>
        <v>-394</v>
      </c>
      <c r="H40" s="20">
        <f>'Raw IS'!F21</f>
        <v>-888</v>
      </c>
      <c r="I40" s="83">
        <f>I41*I37</f>
        <v>542.62335999999993</v>
      </c>
      <c r="J40" s="94">
        <f t="shared" ref="J40:R40" si="20">J41*J37</f>
        <v>122.56678799999996</v>
      </c>
      <c r="K40" s="94">
        <f t="shared" si="20"/>
        <v>-527.00893199999996</v>
      </c>
      <c r="L40" s="94">
        <f t="shared" si="20"/>
        <v>-652.66079999999999</v>
      </c>
      <c r="M40" s="94">
        <f t="shared" si="20"/>
        <v>-762.23472000000004</v>
      </c>
      <c r="N40" s="94">
        <f t="shared" si="20"/>
        <v>-812.31979999999976</v>
      </c>
      <c r="O40" s="94">
        <f t="shared" si="20"/>
        <v>-844.85131999999987</v>
      </c>
      <c r="P40" s="94">
        <f t="shared" si="20"/>
        <v>-878.54467999999974</v>
      </c>
      <c r="Q40" s="94">
        <f t="shared" si="20"/>
        <v>-913.78715999999963</v>
      </c>
      <c r="R40" s="94">
        <f t="shared" si="20"/>
        <v>-950.33864639999967</v>
      </c>
    </row>
    <row r="41" spans="1:86" s="51" customFormat="1" x14ac:dyDescent="0.25">
      <c r="A41" s="1"/>
      <c r="B41" s="99" t="s">
        <v>22</v>
      </c>
      <c r="C41" s="106">
        <f>C40/C37</f>
        <v>-1.9427402862985686E-2</v>
      </c>
      <c r="D41" s="106">
        <f>D40/D37</f>
        <v>-1.1204481792717087E-2</v>
      </c>
      <c r="E41" s="106">
        <f t="shared" ref="E41:H41" si="21">E40/E37</f>
        <v>-9.3953362255965289E-2</v>
      </c>
      <c r="F41" s="106">
        <f t="shared" si="21"/>
        <v>-9.3240093240093247E-2</v>
      </c>
      <c r="G41" s="106">
        <f t="shared" si="21"/>
        <v>-6.270889702371478E-2</v>
      </c>
      <c r="H41" s="106">
        <f t="shared" si="21"/>
        <v>-9.152752009894867E-2</v>
      </c>
      <c r="I41" s="107">
        <v>-9.1999999999999998E-2</v>
      </c>
      <c r="J41" s="108">
        <v>-9.4E-2</v>
      </c>
      <c r="K41" s="108">
        <v>-9.4E-2</v>
      </c>
      <c r="L41" s="108">
        <v>-9.4E-2</v>
      </c>
      <c r="M41" s="108">
        <v>-9.4E-2</v>
      </c>
      <c r="N41" s="108">
        <v>-9.4E-2</v>
      </c>
      <c r="O41" s="108">
        <v>-9.4E-2</v>
      </c>
      <c r="P41" s="108">
        <v>-9.4E-2</v>
      </c>
      <c r="Q41" s="108">
        <v>-9.4E-2</v>
      </c>
      <c r="R41" s="108">
        <v>-9.4E-2</v>
      </c>
    </row>
    <row r="42" spans="1:86" s="51" customFormat="1" x14ac:dyDescent="0.25">
      <c r="A42" s="1"/>
      <c r="B42" s="1"/>
      <c r="C42" s="1"/>
      <c r="D42" s="1"/>
      <c r="E42" s="1"/>
      <c r="F42" s="1"/>
      <c r="G42" s="1"/>
      <c r="H42" s="1"/>
      <c r="I42" s="85"/>
      <c r="J42" s="95"/>
      <c r="K42" s="95"/>
      <c r="L42" s="95"/>
      <c r="M42" s="95"/>
      <c r="N42" s="95"/>
      <c r="O42" s="95"/>
      <c r="P42" s="95"/>
      <c r="Q42" s="95"/>
      <c r="R42" s="95"/>
    </row>
    <row r="43" spans="1:86" s="51" customFormat="1" x14ac:dyDescent="0.25">
      <c r="A43" s="1"/>
      <c r="B43" s="9" t="s">
        <v>23</v>
      </c>
      <c r="C43" s="9">
        <v>2018</v>
      </c>
      <c r="D43" s="9">
        <v>2019</v>
      </c>
      <c r="E43" s="9">
        <v>2020</v>
      </c>
      <c r="F43" s="9">
        <v>2021</v>
      </c>
      <c r="G43" s="9">
        <v>2022</v>
      </c>
      <c r="H43" s="9">
        <v>2023</v>
      </c>
      <c r="I43" s="91">
        <v>2023</v>
      </c>
      <c r="J43" s="97">
        <v>2024</v>
      </c>
      <c r="K43" s="97">
        <v>2025</v>
      </c>
      <c r="L43" s="97">
        <v>2026</v>
      </c>
      <c r="M43" s="97">
        <v>2027</v>
      </c>
      <c r="N43" s="97">
        <v>2028</v>
      </c>
      <c r="O43" s="97">
        <v>2029</v>
      </c>
      <c r="P43" s="97">
        <v>2030</v>
      </c>
      <c r="Q43" s="97">
        <v>2031</v>
      </c>
      <c r="R43" s="97">
        <v>2032</v>
      </c>
      <c r="S43" s="52">
        <v>2033</v>
      </c>
      <c r="T43" s="52">
        <v>2034</v>
      </c>
      <c r="U43" s="52">
        <v>2035</v>
      </c>
      <c r="V43" s="52">
        <v>2036</v>
      </c>
      <c r="W43" s="52">
        <v>2037</v>
      </c>
      <c r="X43" s="52">
        <v>2038</v>
      </c>
      <c r="Y43" s="52">
        <v>2039</v>
      </c>
      <c r="Z43" s="52">
        <v>2040</v>
      </c>
      <c r="AA43" s="52">
        <v>2041</v>
      </c>
      <c r="AB43" s="52">
        <v>2042</v>
      </c>
      <c r="AC43" s="52">
        <v>2043</v>
      </c>
      <c r="AD43" s="52">
        <v>2044</v>
      </c>
      <c r="AE43" s="52">
        <v>2045</v>
      </c>
      <c r="AF43" s="52">
        <v>2046</v>
      </c>
      <c r="AG43" s="52">
        <v>2047</v>
      </c>
      <c r="AH43" s="52">
        <v>2048</v>
      </c>
      <c r="AI43" s="52">
        <v>2049</v>
      </c>
      <c r="AJ43" s="52">
        <v>2050</v>
      </c>
      <c r="AK43" s="52">
        <v>2051</v>
      </c>
      <c r="AL43" s="52">
        <v>2052</v>
      </c>
      <c r="AM43" s="52">
        <v>2053</v>
      </c>
      <c r="AN43" s="52">
        <v>2054</v>
      </c>
      <c r="AO43" s="52">
        <v>2055</v>
      </c>
      <c r="AP43" s="52">
        <v>2056</v>
      </c>
      <c r="AQ43" s="52">
        <v>2057</v>
      </c>
      <c r="AR43" s="52">
        <v>2058</v>
      </c>
      <c r="AS43" s="52">
        <v>2059</v>
      </c>
      <c r="AT43" s="52">
        <v>2060</v>
      </c>
      <c r="AU43" s="52">
        <v>2061</v>
      </c>
      <c r="AV43" s="52">
        <v>2062</v>
      </c>
      <c r="AW43" s="52">
        <v>2063</v>
      </c>
      <c r="AX43" s="52">
        <v>2064</v>
      </c>
      <c r="AY43" s="52">
        <v>2065</v>
      </c>
      <c r="AZ43" s="52">
        <v>2066</v>
      </c>
      <c r="BA43" s="52">
        <v>2067</v>
      </c>
      <c r="BB43" s="52">
        <v>2068</v>
      </c>
      <c r="BC43" s="52">
        <v>2069</v>
      </c>
      <c r="BD43" s="52">
        <v>2070</v>
      </c>
      <c r="BE43" s="52">
        <v>2071</v>
      </c>
      <c r="BF43" s="52">
        <v>2072</v>
      </c>
      <c r="BG43" s="52">
        <v>2073</v>
      </c>
      <c r="BH43" s="52">
        <v>2074</v>
      </c>
      <c r="BI43" s="52">
        <v>2075</v>
      </c>
      <c r="BJ43" s="52">
        <v>2076</v>
      </c>
      <c r="BK43" s="52">
        <v>2077</v>
      </c>
      <c r="BL43" s="52">
        <v>2078</v>
      </c>
      <c r="BM43" s="52">
        <v>2079</v>
      </c>
      <c r="BN43" s="52">
        <v>2080</v>
      </c>
      <c r="BO43" s="52">
        <v>2081</v>
      </c>
      <c r="BP43" s="52">
        <v>2082</v>
      </c>
      <c r="BQ43" s="52">
        <v>2083</v>
      </c>
      <c r="BR43" s="52">
        <v>2084</v>
      </c>
      <c r="BS43" s="52">
        <v>2085</v>
      </c>
      <c r="BT43" s="52">
        <v>2086</v>
      </c>
      <c r="BU43" s="52">
        <v>2087</v>
      </c>
      <c r="BV43" s="52">
        <v>2088</v>
      </c>
      <c r="BW43" s="52">
        <v>2089</v>
      </c>
      <c r="BX43" s="52">
        <v>2090</v>
      </c>
      <c r="BY43" s="52">
        <v>2091</v>
      </c>
      <c r="BZ43" s="52">
        <v>2092</v>
      </c>
      <c r="CA43" s="52">
        <v>2093</v>
      </c>
      <c r="CB43" s="52">
        <v>2094</v>
      </c>
      <c r="CC43" s="52">
        <v>2095</v>
      </c>
      <c r="CD43" s="52">
        <v>2096</v>
      </c>
      <c r="CE43" s="52">
        <v>2097</v>
      </c>
      <c r="CF43" s="52">
        <v>2098</v>
      </c>
      <c r="CG43" s="52">
        <v>2099</v>
      </c>
      <c r="CH43" s="52">
        <v>2100</v>
      </c>
    </row>
    <row r="44" spans="1:86" s="51" customFormat="1" x14ac:dyDescent="0.25">
      <c r="A44" s="1"/>
      <c r="B44" s="1" t="s">
        <v>24</v>
      </c>
      <c r="C44" s="10">
        <f>'Raw CF'!K5+'Raw CF'!K6</f>
        <v>3986</v>
      </c>
      <c r="D44" s="10">
        <f>'Raw CF'!L5+'Raw CF'!L6</f>
        <v>4860</v>
      </c>
      <c r="E44" s="10">
        <f>'Raw CF'!M5+'Raw CF'!M6</f>
        <v>5473</v>
      </c>
      <c r="F44" s="20">
        <f>'Raw CF'!D6</f>
        <v>5650</v>
      </c>
      <c r="G44" s="20">
        <f>'Raw CF'!E6</f>
        <v>6214</v>
      </c>
      <c r="H44" s="20">
        <f>'Raw CF'!F6</f>
        <v>7116</v>
      </c>
      <c r="I44" s="83">
        <f t="shared" ref="I44:Q44" si="22">I45*I11</f>
        <v>7960.0000000000009</v>
      </c>
      <c r="J44" s="94">
        <f t="shared" si="22"/>
        <v>7590</v>
      </c>
      <c r="K44" s="94">
        <f t="shared" si="22"/>
        <v>7790.0000000000009</v>
      </c>
      <c r="L44" s="94">
        <f t="shared" si="22"/>
        <v>8360</v>
      </c>
      <c r="M44" s="94">
        <f t="shared" si="22"/>
        <v>9690</v>
      </c>
      <c r="N44" s="94">
        <f t="shared" si="22"/>
        <v>11116.75</v>
      </c>
      <c r="O44" s="94">
        <f t="shared" si="22"/>
        <v>11561.95</v>
      </c>
      <c r="P44" s="94">
        <f t="shared" si="22"/>
        <v>12023.05</v>
      </c>
      <c r="Q44" s="94">
        <f t="shared" si="22"/>
        <v>12505.349999999997</v>
      </c>
      <c r="R44" s="94">
        <f>R45*R11</f>
        <v>13005.563999999997</v>
      </c>
    </row>
    <row r="45" spans="1:86" s="51" customFormat="1" x14ac:dyDescent="0.25">
      <c r="A45" s="1"/>
      <c r="B45" s="99" t="s">
        <v>20</v>
      </c>
      <c r="C45" s="100">
        <f>C44/C11</f>
        <v>0.19614211199685069</v>
      </c>
      <c r="D45" s="100">
        <f>D44/D11</f>
        <v>0.15991576453555328</v>
      </c>
      <c r="E45" s="100">
        <f>E44/E11</f>
        <v>0.23382893275228575</v>
      </c>
      <c r="F45" s="100">
        <f>F44/F11</f>
        <v>0.26358759038954982</v>
      </c>
      <c r="G45" s="100">
        <f>G44/G11</f>
        <v>0.22429164410756181</v>
      </c>
      <c r="H45" s="100">
        <f>H44/H11</f>
        <v>0.23135444437219585</v>
      </c>
      <c r="I45" s="101">
        <v>0.51554404145077726</v>
      </c>
      <c r="J45" s="102">
        <v>0.37370753323485967</v>
      </c>
      <c r="K45" s="102">
        <v>0.27594757350336524</v>
      </c>
      <c r="L45" s="102">
        <v>0.26489226869455007</v>
      </c>
      <c r="M45" s="102">
        <v>0.27006688963210701</v>
      </c>
      <c r="N45" s="102">
        <v>0.26500000000000001</v>
      </c>
      <c r="O45" s="102">
        <v>0.26500000000000001</v>
      </c>
      <c r="P45" s="102">
        <v>0.26500000000000001</v>
      </c>
      <c r="Q45" s="102">
        <v>0.26500000000000001</v>
      </c>
      <c r="R45" s="102">
        <v>0.26500000000000001</v>
      </c>
    </row>
    <row r="46" spans="1:86" s="51" customFormat="1" x14ac:dyDescent="0.25">
      <c r="A46" s="1"/>
      <c r="B46" s="1"/>
      <c r="C46" s="1"/>
      <c r="D46" s="1"/>
      <c r="E46" s="1"/>
      <c r="F46" s="2"/>
      <c r="G46" s="1"/>
      <c r="H46" s="1"/>
      <c r="I46" s="85"/>
      <c r="J46" s="95"/>
      <c r="K46" s="95"/>
      <c r="L46" s="95"/>
      <c r="M46" s="95"/>
      <c r="N46" s="95"/>
      <c r="O46" s="95"/>
      <c r="P46" s="95"/>
      <c r="Q46" s="95"/>
      <c r="R46" s="95"/>
    </row>
    <row r="47" spans="1:86" s="51" customFormat="1" x14ac:dyDescent="0.25">
      <c r="A47" s="1"/>
      <c r="B47" s="1" t="s">
        <v>25</v>
      </c>
      <c r="C47" s="10">
        <f>'Raw CF'!K20</f>
        <v>-4734</v>
      </c>
      <c r="D47" s="10">
        <f>'Raw CF'!L20</f>
        <v>-8879</v>
      </c>
      <c r="E47" s="10">
        <f>'Raw CF'!M20</f>
        <v>-9780</v>
      </c>
      <c r="F47" s="20">
        <f>'Raw CF'!D18</f>
        <v>-8223</v>
      </c>
      <c r="G47" s="20">
        <f>'Raw CF'!E18</f>
        <v>-10030</v>
      </c>
      <c r="H47" s="20">
        <f>'Raw CF'!F18</f>
        <v>-12067</v>
      </c>
      <c r="I47" s="83">
        <f t="shared" ref="I47:Q47" si="23">I48*I11</f>
        <v>-7120</v>
      </c>
      <c r="J47" s="94">
        <f t="shared" si="23"/>
        <v>-6540</v>
      </c>
      <c r="K47" s="94">
        <f t="shared" si="23"/>
        <v>-8740</v>
      </c>
      <c r="L47" s="94">
        <f t="shared" si="23"/>
        <v>-11050</v>
      </c>
      <c r="M47" s="94">
        <f t="shared" si="23"/>
        <v>-12560.000000000002</v>
      </c>
      <c r="N47" s="94">
        <f t="shared" si="23"/>
        <v>-11640</v>
      </c>
      <c r="O47" s="94">
        <f t="shared" si="23"/>
        <v>-12106.154946364721</v>
      </c>
      <c r="P47" s="94">
        <f t="shared" si="23"/>
        <v>-12588.958283671036</v>
      </c>
      <c r="Q47" s="94">
        <f t="shared" si="23"/>
        <v>-13093.959475566146</v>
      </c>
      <c r="R47" s="94">
        <f>R48*R11</f>
        <v>-13617.717854588793</v>
      </c>
    </row>
    <row r="48" spans="1:86" s="51" customFormat="1" x14ac:dyDescent="0.25">
      <c r="A48" s="1"/>
      <c r="B48" s="99" t="s">
        <v>20</v>
      </c>
      <c r="C48" s="100">
        <f>C47/C11</f>
        <v>-0.2329495128432241</v>
      </c>
      <c r="D48" s="100">
        <f>D47/D11</f>
        <v>-0.29215886282122999</v>
      </c>
      <c r="E48" s="100">
        <f>E47/E11</f>
        <v>-0.41784157908228658</v>
      </c>
      <c r="F48" s="100">
        <f>F47/F11</f>
        <v>-0.38362491252624215</v>
      </c>
      <c r="G48" s="100">
        <f>G47/G11</f>
        <v>-0.36202851470853636</v>
      </c>
      <c r="H48" s="100">
        <f>H47/H11</f>
        <v>-0.39232069705442485</v>
      </c>
      <c r="I48" s="101">
        <v>-0.46113989637305697</v>
      </c>
      <c r="J48" s="102">
        <v>-0.32200886262924666</v>
      </c>
      <c r="K48" s="102">
        <v>-0.30959971661353169</v>
      </c>
      <c r="L48" s="102">
        <v>-0.35012674271229405</v>
      </c>
      <c r="M48" s="102">
        <v>-0.35005574136008921</v>
      </c>
      <c r="N48" s="102">
        <v>-0.27747318235995233</v>
      </c>
      <c r="O48" s="102">
        <v>-0.27747318235995233</v>
      </c>
      <c r="P48" s="102">
        <v>-0.27747318235995233</v>
      </c>
      <c r="Q48" s="102">
        <v>-0.27747318235995233</v>
      </c>
      <c r="R48" s="102">
        <v>-0.27747318235995233</v>
      </c>
    </row>
    <row r="49" spans="1:86" s="51" customFormat="1" x14ac:dyDescent="0.25">
      <c r="A49" s="1"/>
      <c r="B49" s="1"/>
      <c r="C49" s="1"/>
      <c r="D49" s="1"/>
      <c r="E49" s="1"/>
      <c r="F49" s="2"/>
      <c r="G49" s="1"/>
      <c r="H49" s="1"/>
      <c r="I49" s="85"/>
      <c r="J49" s="95"/>
      <c r="K49" s="95"/>
      <c r="L49" s="95"/>
      <c r="M49" s="95"/>
      <c r="N49" s="95"/>
      <c r="O49" s="95"/>
      <c r="P49" s="95"/>
      <c r="Q49" s="95"/>
      <c r="R49" s="95"/>
    </row>
    <row r="50" spans="1:86" s="51" customFormat="1" x14ac:dyDescent="0.25">
      <c r="A50" s="1"/>
      <c r="B50" s="1" t="s">
        <v>26</v>
      </c>
      <c r="C50" s="35">
        <f>SUM('Raw CF'!K11:K16)</f>
        <v>-1166</v>
      </c>
      <c r="D50" s="35">
        <f>SUM('Raw CF'!L11:L16)</f>
        <v>-2181</v>
      </c>
      <c r="E50" s="35">
        <f>SUM('Raw CF'!M11:M16)</f>
        <v>719</v>
      </c>
      <c r="F50" s="2">
        <f>SUM('Raw CF'!D11:D14)</f>
        <v>-382</v>
      </c>
      <c r="G50" s="2">
        <f>SUM('Raw CF'!E11:E14)</f>
        <v>-440</v>
      </c>
      <c r="H50" s="2">
        <f>SUM('Raw CF'!F11:F14)</f>
        <v>-1263</v>
      </c>
      <c r="I50" s="83">
        <f>I51*I11</f>
        <v>-463.2</v>
      </c>
      <c r="J50" s="94">
        <f>J51*J11</f>
        <v>-609.29999999999995</v>
      </c>
      <c r="K50" s="94">
        <f>K51*K11</f>
        <v>-846.9</v>
      </c>
      <c r="L50" s="94">
        <f>L51*L11</f>
        <v>-946.8</v>
      </c>
      <c r="M50" s="94">
        <f>M51*M11</f>
        <v>-1076.3999999999999</v>
      </c>
      <c r="N50" s="94">
        <f>N51*N11</f>
        <v>-1258.5</v>
      </c>
      <c r="O50" s="94">
        <f>O51*O11</f>
        <v>-1308.8999999999999</v>
      </c>
      <c r="P50" s="94">
        <f>P51*P11</f>
        <v>-1361.0999999999997</v>
      </c>
      <c r="Q50" s="94">
        <f>Q51*Q11</f>
        <v>-1415.6999999999996</v>
      </c>
      <c r="R50" s="94">
        <f>R51*R11</f>
        <v>-1472.3279999999995</v>
      </c>
    </row>
    <row r="51" spans="1:86" s="51" customFormat="1" x14ac:dyDescent="0.25">
      <c r="A51" s="1"/>
      <c r="B51" s="99" t="s">
        <v>20</v>
      </c>
      <c r="C51" s="100">
        <f>C50/C11</f>
        <v>-5.7376242495817339E-2</v>
      </c>
      <c r="D51" s="100">
        <f>D50/D11</f>
        <v>-7.1764667171202001E-2</v>
      </c>
      <c r="E51" s="100">
        <f>E50/E11</f>
        <v>3.0718619157480989E-2</v>
      </c>
      <c r="F51" s="100">
        <f>F50/F11</f>
        <v>-1.782132027058549E-2</v>
      </c>
      <c r="G51" s="100">
        <f>G50/G11</f>
        <v>-1.5881609817722433E-2</v>
      </c>
      <c r="H51" s="100">
        <f>H50/H11</f>
        <v>-4.1062487808049941E-2</v>
      </c>
      <c r="I51" s="103">
        <v>-0.03</v>
      </c>
      <c r="J51" s="104">
        <v>-0.03</v>
      </c>
      <c r="K51" s="104">
        <v>-0.03</v>
      </c>
      <c r="L51" s="104">
        <v>-0.03</v>
      </c>
      <c r="M51" s="104">
        <v>-0.03</v>
      </c>
      <c r="N51" s="104">
        <v>-0.03</v>
      </c>
      <c r="O51" s="104">
        <v>-0.03</v>
      </c>
      <c r="P51" s="104">
        <v>-0.03</v>
      </c>
      <c r="Q51" s="104">
        <v>-0.03</v>
      </c>
      <c r="R51" s="104">
        <v>-0.03</v>
      </c>
    </row>
    <row r="52" spans="1:86" s="51" customFormat="1" x14ac:dyDescent="0.25">
      <c r="A52" s="1"/>
      <c r="B52" s="1"/>
      <c r="C52" s="1"/>
      <c r="D52" s="1"/>
      <c r="E52" s="1"/>
      <c r="F52" s="1"/>
      <c r="G52" s="1"/>
      <c r="H52" s="1"/>
      <c r="I52" s="85"/>
      <c r="J52" s="95"/>
      <c r="K52" s="95"/>
      <c r="L52" s="95"/>
      <c r="M52" s="95"/>
      <c r="N52" s="95"/>
      <c r="O52" s="95"/>
      <c r="P52" s="95"/>
      <c r="Q52" s="95"/>
      <c r="R52" s="95"/>
    </row>
    <row r="53" spans="1:86" s="51" customFormat="1" x14ac:dyDescent="0.25">
      <c r="A53" s="1"/>
      <c r="B53" s="9" t="s">
        <v>27</v>
      </c>
      <c r="C53" s="10">
        <f>C37+C40</f>
        <v>5754</v>
      </c>
      <c r="D53" s="10">
        <f t="shared" ref="D53:R53" si="24">D37+D40</f>
        <v>14826</v>
      </c>
      <c r="E53" s="10">
        <f t="shared" si="24"/>
        <v>6683</v>
      </c>
      <c r="F53" s="10">
        <f t="shared" si="24"/>
        <v>2723</v>
      </c>
      <c r="G53" s="10">
        <f t="shared" si="24"/>
        <v>5889</v>
      </c>
      <c r="H53" s="10">
        <f t="shared" si="24"/>
        <v>8814</v>
      </c>
      <c r="I53" s="89">
        <f t="shared" si="24"/>
        <v>-5355.4566400000003</v>
      </c>
      <c r="J53" s="96">
        <f t="shared" si="24"/>
        <v>-1181.3352119999997</v>
      </c>
      <c r="K53" s="96">
        <f t="shared" si="24"/>
        <v>5079.4690679999994</v>
      </c>
      <c r="L53" s="96">
        <f t="shared" si="24"/>
        <v>6290.5392000000002</v>
      </c>
      <c r="M53" s="96">
        <f t="shared" si="24"/>
        <v>7346.6452799999997</v>
      </c>
      <c r="N53" s="96">
        <f t="shared" si="24"/>
        <v>7829.3801999999978</v>
      </c>
      <c r="O53" s="96">
        <f t="shared" si="24"/>
        <v>8142.9286799999991</v>
      </c>
      <c r="P53" s="96">
        <f t="shared" si="24"/>
        <v>8467.6753199999985</v>
      </c>
      <c r="Q53" s="96">
        <f t="shared" si="24"/>
        <v>8807.3528399999959</v>
      </c>
      <c r="R53" s="96">
        <f t="shared" si="24"/>
        <v>9159.6469535999968</v>
      </c>
    </row>
    <row r="54" spans="1:86" s="51" customFormat="1" x14ac:dyDescent="0.25">
      <c r="A54" s="1"/>
      <c r="B54" s="9" t="s">
        <v>125</v>
      </c>
      <c r="C54" s="10">
        <f>'Raw IS'!J23+'Raw IS'!J20</f>
        <v>7</v>
      </c>
      <c r="D54" s="10">
        <f>'Raw IS'!K23+'Raw IS'!K20</f>
        <v>-4</v>
      </c>
      <c r="E54" s="10">
        <f>'Raw IS'!L23+'Raw IS'!L20</f>
        <v>-42</v>
      </c>
      <c r="F54" s="10">
        <f>SUM('Raw IS'!D22,'Raw IS'!D25)</f>
        <v>-16</v>
      </c>
      <c r="G54" s="10">
        <f>SUM('Raw IS'!E22,'Raw IS'!E25)</f>
        <v>37</v>
      </c>
      <c r="H54" s="10">
        <f>SUM('Raw IS'!F22,'Raw IS'!F25)</f>
        <v>4</v>
      </c>
      <c r="I54" s="89">
        <v>10</v>
      </c>
      <c r="J54" s="96">
        <v>10</v>
      </c>
      <c r="K54" s="96">
        <v>10</v>
      </c>
      <c r="L54" s="96">
        <v>10</v>
      </c>
      <c r="M54" s="96">
        <v>10</v>
      </c>
      <c r="N54" s="96">
        <v>10</v>
      </c>
      <c r="O54" s="96">
        <v>10</v>
      </c>
      <c r="P54" s="96">
        <v>10</v>
      </c>
      <c r="Q54" s="96">
        <v>10</v>
      </c>
      <c r="R54" s="96">
        <v>10</v>
      </c>
    </row>
    <row r="55" spans="1:86" s="51" customFormat="1" x14ac:dyDescent="0.25">
      <c r="A55" s="1"/>
      <c r="B55" s="9" t="s">
        <v>28</v>
      </c>
      <c r="C55" s="10">
        <f>C35+C40+C54</f>
        <v>5089</v>
      </c>
      <c r="D55" s="10">
        <f t="shared" ref="D55:H55" si="25">D35+D40+D54</f>
        <v>14135</v>
      </c>
      <c r="E55" s="10">
        <f t="shared" si="25"/>
        <v>6313</v>
      </c>
      <c r="F55" s="10">
        <f t="shared" si="25"/>
        <v>2687</v>
      </c>
      <c r="G55" s="10">
        <f t="shared" si="25"/>
        <v>5861</v>
      </c>
      <c r="H55" s="10">
        <f>H35+H40+H54</f>
        <v>8687</v>
      </c>
      <c r="I55" s="89">
        <f t="shared" ref="I55" si="26">I35+I40+I54</f>
        <v>-5808.6566400000002</v>
      </c>
      <c r="J55" s="96">
        <f t="shared" ref="J55" si="27">J35+J40+J54</f>
        <v>-1272.8852119999997</v>
      </c>
      <c r="K55" s="96">
        <f t="shared" ref="K55" si="28">K35+K40+K54</f>
        <v>4948.3190679999998</v>
      </c>
      <c r="L55" s="96">
        <f t="shared" ref="L55" si="29">L35+L40+L54</f>
        <v>6142.7392</v>
      </c>
      <c r="M55" s="96">
        <f t="shared" ref="M55" si="30">M35+M40+M54</f>
        <v>7177.2452800000001</v>
      </c>
      <c r="N55" s="96">
        <f t="shared" ref="N55" si="31">N35+N40+N54</f>
        <v>7629.6301999999978</v>
      </c>
      <c r="O55" s="96">
        <f t="shared" ref="O55" si="32">O35+O40+O54</f>
        <v>7934.7786799999994</v>
      </c>
      <c r="P55" s="96">
        <f t="shared" ref="P55" si="33">P35+P40+P54</f>
        <v>8250.8253199999981</v>
      </c>
      <c r="Q55" s="96">
        <f t="shared" ref="Q55" si="34">Q35+Q40+Q54</f>
        <v>8581.4028399999952</v>
      </c>
      <c r="R55" s="96">
        <f t="shared" ref="R55" si="35">R35+R40+R54</f>
        <v>8924.2589535999978</v>
      </c>
      <c r="S55" s="59">
        <f>R55*(1+E6)</f>
        <v>9281.2293117439986</v>
      </c>
      <c r="T55" s="59">
        <f>S55*(1+E6)</f>
        <v>9652.4784842137597</v>
      </c>
      <c r="U55" s="59">
        <f>T55*(1+E6)</f>
        <v>10038.57762358231</v>
      </c>
      <c r="V55" s="59">
        <f>U55*(1+E6)</f>
        <v>10440.120728525604</v>
      </c>
      <c r="W55" s="59">
        <f>V55*(1+E6)</f>
        <v>10857.725557666628</v>
      </c>
      <c r="X55" s="59">
        <f>W55*(1+E6)</f>
        <v>11292.034579973293</v>
      </c>
      <c r="Y55" s="59">
        <f>X55*(1+E6)</f>
        <v>11743.715963172226</v>
      </c>
      <c r="Z55" s="59">
        <f>Y55*(1+E6)</f>
        <v>12213.464601699116</v>
      </c>
      <c r="AA55" s="59">
        <f>Z55*(1+E6)</f>
        <v>12702.00318576708</v>
      </c>
      <c r="AB55" s="59">
        <f>AA55*(1+E6)</f>
        <v>13210.083313197763</v>
      </c>
      <c r="AC55" s="59">
        <f>AB55*(1+E6)</f>
        <v>13738.486645725674</v>
      </c>
      <c r="AD55" s="59">
        <f>AC55*(1+E6)</f>
        <v>14288.026111554702</v>
      </c>
      <c r="AE55" s="59">
        <f>AD55*(1+E6)</f>
        <v>14859.54715601689</v>
      </c>
      <c r="AF55" s="59">
        <f>AE55*(1+E6)</f>
        <v>15453.929042257567</v>
      </c>
      <c r="AG55" s="59">
        <f>AF55*(1+E6)</f>
        <v>16072.086203947871</v>
      </c>
      <c r="AH55" s="59">
        <f>AG55*(1+E6)</f>
        <v>16714.969652105785</v>
      </c>
      <c r="AI55" s="59">
        <f>AH55*(1+E6)</f>
        <v>17383.568438190017</v>
      </c>
      <c r="AJ55" s="59">
        <f>AI55*(1+E6)</f>
        <v>18078.911175717618</v>
      </c>
      <c r="AK55" s="59">
        <f>AJ55*(1+E6)</f>
        <v>18802.067622746323</v>
      </c>
      <c r="AL55" s="59">
        <f>AK55*(1+E6)</f>
        <v>19554.150327656178</v>
      </c>
      <c r="AM55" s="59">
        <f>AL55*(1+E6)</f>
        <v>20336.316340762427</v>
      </c>
      <c r="AN55" s="59">
        <f>AM55*(1+E6)</f>
        <v>21149.768994392925</v>
      </c>
      <c r="AO55" s="59">
        <f>AN55*(1+E6)</f>
        <v>21995.759754168645</v>
      </c>
      <c r="AP55" s="59">
        <f>AO55*(1+E6)</f>
        <v>22875.590144335391</v>
      </c>
      <c r="AQ55" s="59">
        <f>AP55*(1+E6)</f>
        <v>23790.613750108809</v>
      </c>
      <c r="AR55" s="59">
        <f>AQ55*(1+E6)</f>
        <v>24742.23830011316</v>
      </c>
      <c r="AS55" s="59">
        <f>AR55*(1+E6)</f>
        <v>25731.927832117686</v>
      </c>
      <c r="AT55" s="59">
        <f>AS55*(1+E6)</f>
        <v>26761.204945402395</v>
      </c>
      <c r="AU55" s="59">
        <f>AT55*(1+E6)</f>
        <v>27831.653143218493</v>
      </c>
      <c r="AV55" s="59">
        <f>AU55*(1+E6)</f>
        <v>28944.919268947233</v>
      </c>
      <c r="AW55" s="59">
        <f>AV55*(1+E6)</f>
        <v>30102.716039705123</v>
      </c>
      <c r="AX55" s="59">
        <f>AW55*(1+E6)</f>
        <v>31306.824681293328</v>
      </c>
      <c r="AY55" s="59">
        <f>AX55*(1+E6)</f>
        <v>32559.097668545062</v>
      </c>
      <c r="AZ55" s="59">
        <f>AY55*(1+E6)</f>
        <v>33861.461575286863</v>
      </c>
      <c r="BA55" s="59">
        <f>AZ55*(1+E6)</f>
        <v>35215.92003829834</v>
      </c>
      <c r="BB55" s="59">
        <f>BA55*(1+E6)</f>
        <v>36624.556839830271</v>
      </c>
      <c r="BC55" s="59">
        <f>BB55*(1+E6)</f>
        <v>38089.539113423481</v>
      </c>
      <c r="BD55" s="59">
        <f>BC55*(1+E6)</f>
        <v>39613.120677960425</v>
      </c>
      <c r="BE55" s="59">
        <f>BD55*(1+E6)</f>
        <v>41197.645505078843</v>
      </c>
      <c r="BF55" s="59">
        <f>BE55*(1+E6)</f>
        <v>42845.551325281995</v>
      </c>
      <c r="BG55" s="59">
        <f>BF55*(1+E6)</f>
        <v>44559.373378293276</v>
      </c>
      <c r="BH55" s="59">
        <f>BG55*(1+E6)</f>
        <v>46341.748313425007</v>
      </c>
      <c r="BI55" s="59">
        <f>BH55*(1+E6)</f>
        <v>48195.418245962006</v>
      </c>
      <c r="BJ55" s="59">
        <f>BI55*(1+E6)</f>
        <v>50123.234975800486</v>
      </c>
      <c r="BK55" s="59">
        <f>BJ55*(1+E6)</f>
        <v>52128.164374832508</v>
      </c>
      <c r="BL55" s="59">
        <f>BK55*(1+E6)</f>
        <v>54213.290949825809</v>
      </c>
      <c r="BM55" s="59">
        <f>BL55*(1+E6)</f>
        <v>56381.822587818846</v>
      </c>
      <c r="BN55" s="59">
        <f>BM55*(1+E6)</f>
        <v>58637.095491331602</v>
      </c>
      <c r="BO55" s="59">
        <f>BN55*(1+E6)</f>
        <v>60982.579310984867</v>
      </c>
      <c r="BP55" s="59">
        <f>BO55*(1+E6)</f>
        <v>63421.882483424262</v>
      </c>
      <c r="BQ55" s="59">
        <f>BP55*(1+E6)</f>
        <v>65958.75778276124</v>
      </c>
      <c r="BR55" s="59">
        <f>BQ55*(1+E6)</f>
        <v>68597.108094071693</v>
      </c>
      <c r="BS55" s="59">
        <f>BR55*(1+E6)</f>
        <v>71340.992417834568</v>
      </c>
      <c r="BT55" s="59">
        <f>BS55*(1+E6)</f>
        <v>74194.63211454796</v>
      </c>
      <c r="BU55" s="59">
        <f>BT55*(1+E6)</f>
        <v>77162.417399129874</v>
      </c>
      <c r="BV55" s="59">
        <f>BU55*(1+E6)</f>
        <v>80248.914095095068</v>
      </c>
      <c r="BW55" s="59">
        <f>BV55*(1+E6)</f>
        <v>83458.870658898872</v>
      </c>
      <c r="BX55" s="59">
        <f>BW55*(1+E6)</f>
        <v>86797.225485254836</v>
      </c>
      <c r="BY55" s="59">
        <f>BX55*(1+E6)</f>
        <v>90269.114504665034</v>
      </c>
      <c r="BZ55" s="59">
        <f>BY55*(1+E6)</f>
        <v>93879.879084851636</v>
      </c>
      <c r="CA55" s="59">
        <f>BZ55*(1+E6)</f>
        <v>97635.074248245699</v>
      </c>
      <c r="CB55" s="59">
        <f>CA55*(1+E6)</f>
        <v>101540.47721817553</v>
      </c>
      <c r="CC55" s="59">
        <f>CB55*(1+E6)</f>
        <v>105602.09630690255</v>
      </c>
      <c r="CD55" s="59">
        <f>CC55*(1+E6)</f>
        <v>109826.18015917865</v>
      </c>
      <c r="CE55" s="59">
        <f>CD55*(1+E6)</f>
        <v>114219.2273655458</v>
      </c>
      <c r="CF55" s="59">
        <f>CE55*(1+E6)</f>
        <v>118787.99646016763</v>
      </c>
      <c r="CG55" s="59">
        <f>CF55*(1+E6)</f>
        <v>123539.51631857434</v>
      </c>
      <c r="CH55" s="59">
        <f>CG55*(1+E6)</f>
        <v>128481.09697131733</v>
      </c>
    </row>
    <row r="56" spans="1:86" s="51" customFormat="1" x14ac:dyDescent="0.25">
      <c r="A56" s="1"/>
      <c r="B56" s="6"/>
      <c r="C56" s="10"/>
      <c r="D56" s="10"/>
      <c r="E56" s="10"/>
      <c r="F56" s="10"/>
      <c r="G56" s="10"/>
      <c r="H56" s="10"/>
      <c r="I56" s="85"/>
      <c r="J56" s="95"/>
      <c r="K56" s="95"/>
      <c r="L56" s="95"/>
      <c r="M56" s="95"/>
      <c r="N56" s="95"/>
      <c r="O56" s="95"/>
      <c r="P56" s="95"/>
      <c r="Q56" s="95"/>
      <c r="R56" s="95"/>
    </row>
    <row r="57" spans="1:86" s="51" customFormat="1" x14ac:dyDescent="0.25">
      <c r="A57" s="1"/>
      <c r="B57" s="9" t="s">
        <v>29</v>
      </c>
      <c r="C57" s="21">
        <f t="shared" ref="C57:I57" si="36">C53+C44+C47-C50</f>
        <v>6172</v>
      </c>
      <c r="D57" s="21">
        <f t="shared" si="36"/>
        <v>12988</v>
      </c>
      <c r="E57" s="21">
        <f t="shared" si="36"/>
        <v>1657</v>
      </c>
      <c r="F57" s="21">
        <f t="shared" si="36"/>
        <v>532</v>
      </c>
      <c r="G57" s="21">
        <f t="shared" si="36"/>
        <v>2513</v>
      </c>
      <c r="H57" s="21">
        <f t="shared" si="36"/>
        <v>5126</v>
      </c>
      <c r="I57" s="92">
        <f t="shared" si="36"/>
        <v>-4052.2566399999996</v>
      </c>
      <c r="J57" s="98">
        <f t="shared" ref="J57:R57" si="37">J53+J44+J47-J50</f>
        <v>477.964788</v>
      </c>
      <c r="K57" s="98">
        <f t="shared" si="37"/>
        <v>4976.369068</v>
      </c>
      <c r="L57" s="98">
        <f t="shared" si="37"/>
        <v>4547.3391999999994</v>
      </c>
      <c r="M57" s="98">
        <f t="shared" si="37"/>
        <v>5553.0452799999985</v>
      </c>
      <c r="N57" s="98">
        <f t="shared" si="37"/>
        <v>8564.6301999999996</v>
      </c>
      <c r="O57" s="98">
        <f t="shared" si="37"/>
        <v>8907.6237336352806</v>
      </c>
      <c r="P57" s="98">
        <f t="shared" si="37"/>
        <v>9262.8670363289621</v>
      </c>
      <c r="Q57" s="98">
        <f t="shared" si="37"/>
        <v>9634.4433644338442</v>
      </c>
      <c r="R57" s="98">
        <f t="shared" si="37"/>
        <v>10019.821099011198</v>
      </c>
    </row>
    <row r="58" spans="1:86" s="51" customFormat="1" x14ac:dyDescent="0.25">
      <c r="A58" s="1"/>
      <c r="B58" s="22" t="s">
        <v>30</v>
      </c>
      <c r="C58" s="1"/>
      <c r="D58" s="1"/>
      <c r="E58" s="1"/>
      <c r="F58" s="1"/>
      <c r="G58" s="1"/>
      <c r="H58" s="1"/>
      <c r="I58" s="60">
        <f>I57/((1+E5)^I9)</f>
        <v>-3638.2759381189735</v>
      </c>
      <c r="J58" s="17">
        <f>J57/((1+E5)^J9)</f>
        <v>385.29492293736837</v>
      </c>
      <c r="K58" s="17">
        <f>K57/((1+E5)^K9)</f>
        <v>3601.709296990362</v>
      </c>
      <c r="L58" s="17">
        <f>L57/((1+E5)^L9)</f>
        <v>2954.9634767256289</v>
      </c>
      <c r="M58" s="17">
        <f>M57/((1+E5)^M9)</f>
        <v>3239.8482805119438</v>
      </c>
      <c r="N58" s="17">
        <f>N57/((1+E5)^N9)</f>
        <v>4486.4286551977011</v>
      </c>
      <c r="O58" s="17">
        <f>O57/((1+E5)^O9)</f>
        <v>4189.4084593334928</v>
      </c>
      <c r="P58" s="17">
        <f>P57/((1+E5)^P9)</f>
        <v>3911.4246037230146</v>
      </c>
      <c r="Q58" s="17">
        <f>Q57/((1+E5)^Q9)</f>
        <v>3652.7071351376526</v>
      </c>
      <c r="R58" s="17">
        <f>R57/((1+E5)^R9)</f>
        <v>3410.7264089565379</v>
      </c>
    </row>
    <row r="59" spans="1:86" s="51" customFormat="1" x14ac:dyDescent="0.25">
      <c r="A59" s="1"/>
      <c r="B59" s="23"/>
      <c r="C59" s="23"/>
      <c r="D59" s="23"/>
      <c r="E59" s="23"/>
      <c r="F59" s="23"/>
      <c r="G59" s="23"/>
      <c r="H59" s="23"/>
      <c r="I59" s="24"/>
      <c r="J59" s="23"/>
      <c r="K59" s="23"/>
      <c r="L59" s="23"/>
      <c r="M59" s="23"/>
      <c r="N59" s="23"/>
      <c r="O59" s="23"/>
      <c r="P59" s="23"/>
      <c r="Q59" s="23"/>
      <c r="R59" s="23"/>
    </row>
    <row r="60" spans="1:86" s="51" customFormat="1" x14ac:dyDescent="0.25">
      <c r="A60" s="1"/>
      <c r="B60" s="1" t="s">
        <v>31</v>
      </c>
      <c r="C60" s="25">
        <f>(R57*(1+E6))/(E5-E6)</f>
        <v>141229.71269140937</v>
      </c>
      <c r="D60" s="1"/>
      <c r="E60" s="1" t="s">
        <v>32</v>
      </c>
      <c r="F60" s="17">
        <f>NPV(E5,I55:CH55)</f>
        <v>65436.006553922947</v>
      </c>
      <c r="G60" s="1"/>
      <c r="H60" s="1"/>
      <c r="I60" s="14"/>
      <c r="J60" s="1"/>
      <c r="K60" s="1"/>
      <c r="L60" s="1"/>
      <c r="M60" s="1"/>
      <c r="N60" s="1"/>
      <c r="O60" s="1"/>
      <c r="P60" s="1"/>
      <c r="Q60" s="1"/>
      <c r="R60" s="2"/>
    </row>
    <row r="61" spans="1:86" s="51" customFormat="1" x14ac:dyDescent="0.25">
      <c r="A61" s="1"/>
      <c r="B61" s="3" t="s">
        <v>33</v>
      </c>
      <c r="C61" s="26">
        <f>C60/((1+E5)^R9)</f>
        <v>48074.302529560155</v>
      </c>
      <c r="D61" s="15"/>
      <c r="E61" s="3"/>
      <c r="F61" s="3"/>
      <c r="G61" s="3"/>
      <c r="H61" s="15"/>
      <c r="I61" s="11"/>
      <c r="J61" s="1"/>
      <c r="K61" s="2"/>
      <c r="L61" s="53" t="s">
        <v>55</v>
      </c>
      <c r="M61" s="54"/>
      <c r="N61" s="54"/>
      <c r="O61" s="54"/>
      <c r="P61" s="54"/>
      <c r="Q61" s="53"/>
      <c r="R61" s="2"/>
    </row>
    <row r="62" spans="1:86" s="51" customFormat="1" x14ac:dyDescent="0.25">
      <c r="A62" s="1"/>
      <c r="B62" s="6" t="s">
        <v>34</v>
      </c>
      <c r="C62" s="6"/>
      <c r="D62" s="1"/>
      <c r="E62" s="6"/>
      <c r="F62" s="6"/>
      <c r="G62" s="27" t="s">
        <v>35</v>
      </c>
      <c r="H62" s="27" t="s">
        <v>32</v>
      </c>
      <c r="I62" s="14"/>
      <c r="J62" s="2"/>
      <c r="K62" s="53"/>
      <c r="L62" s="64">
        <f>D68</f>
        <v>69.794722872751336</v>
      </c>
      <c r="M62" s="55">
        <v>-0.01</v>
      </c>
      <c r="N62" s="55">
        <v>0.01</v>
      </c>
      <c r="O62" s="55">
        <v>0.04</v>
      </c>
      <c r="P62" s="55">
        <v>0.05</v>
      </c>
      <c r="Q62" s="55">
        <v>0.06</v>
      </c>
      <c r="R62" s="2"/>
    </row>
    <row r="63" spans="1:86" s="51" customFormat="1" x14ac:dyDescent="0.25">
      <c r="A63" s="1"/>
      <c r="B63" s="28" t="s">
        <v>36</v>
      </c>
      <c r="C63" s="1"/>
      <c r="D63" s="20">
        <v>9298</v>
      </c>
      <c r="E63" s="1"/>
      <c r="F63" s="1"/>
      <c r="G63" s="25">
        <f>C61+SUM(I58:R58)</f>
        <v>74268.537830954883</v>
      </c>
      <c r="H63" s="17">
        <f>F60</f>
        <v>65436.006553922947</v>
      </c>
      <c r="I63" s="14"/>
      <c r="J63" s="2"/>
      <c r="K63" s="53"/>
      <c r="L63" s="56">
        <f>L64-0.5%</f>
        <v>9.8784855498084606E-2</v>
      </c>
      <c r="M63" s="61">
        <f t="dataTable" ref="M63:Q67" dt2D="1" dtr="1" r1="E6" r2="E5"/>
        <v>61.554477186169805</v>
      </c>
      <c r="N63" s="61">
        <v>69.178235543987171</v>
      </c>
      <c r="O63" s="61">
        <v>89.860633281335595</v>
      </c>
      <c r="P63" s="61">
        <v>101.88716276703177</v>
      </c>
      <c r="Q63" s="61">
        <v>119.25306012888541</v>
      </c>
      <c r="R63" s="2"/>
    </row>
    <row r="64" spans="1:86" s="51" customFormat="1" x14ac:dyDescent="0.25">
      <c r="A64" s="1"/>
      <c r="B64" s="29" t="s">
        <v>37</v>
      </c>
      <c r="C64" s="3"/>
      <c r="D64" s="30">
        <f>5104-2400</f>
        <v>2704</v>
      </c>
      <c r="E64" s="3"/>
      <c r="F64" s="3"/>
      <c r="G64" s="3"/>
      <c r="H64" s="3"/>
      <c r="I64" s="14"/>
      <c r="J64" s="2"/>
      <c r="K64" s="54"/>
      <c r="L64" s="56">
        <f>L65-1%</f>
        <v>0.10378485549808461</v>
      </c>
      <c r="M64" s="61">
        <v>58.078045265428869</v>
      </c>
      <c r="N64" s="62">
        <v>64.71155769869597</v>
      </c>
      <c r="O64" s="62">
        <v>82.151291725756124</v>
      </c>
      <c r="P64" s="62">
        <v>91.956684566432131</v>
      </c>
      <c r="Q64" s="61">
        <v>105.70493554568874</v>
      </c>
      <c r="R64" s="2"/>
    </row>
    <row r="65" spans="1:18" s="51" customFormat="1" x14ac:dyDescent="0.25">
      <c r="A65" s="1"/>
      <c r="B65" s="6" t="s">
        <v>38</v>
      </c>
      <c r="C65" s="6"/>
      <c r="D65" s="6"/>
      <c r="E65" s="6"/>
      <c r="F65" s="6"/>
      <c r="G65" s="31">
        <f>(G63+D63-D64)</f>
        <v>80862.537830954883</v>
      </c>
      <c r="H65" s="32">
        <f>(H63+D63-D64)</f>
        <v>72030.006553922954</v>
      </c>
      <c r="I65" s="14"/>
      <c r="J65" s="2"/>
      <c r="K65" s="53" t="s">
        <v>1</v>
      </c>
      <c r="L65" s="58">
        <v>0.11378485549808461</v>
      </c>
      <c r="M65" s="61">
        <v>52.027191196555307</v>
      </c>
      <c r="N65" s="62">
        <v>57.117615977967759</v>
      </c>
      <c r="O65" s="63">
        <v>69.794722872751336</v>
      </c>
      <c r="P65" s="62">
        <v>76.532201449006422</v>
      </c>
      <c r="Q65" s="61">
        <v>85.559078855057862</v>
      </c>
      <c r="R65" s="2"/>
    </row>
    <row r="66" spans="1:18" s="51" customFormat="1" x14ac:dyDescent="0.25">
      <c r="A66" s="1"/>
      <c r="B66" s="3" t="s">
        <v>39</v>
      </c>
      <c r="C66" s="3"/>
      <c r="D66" s="37">
        <f>1095301608/1000000</f>
        <v>1095.301608</v>
      </c>
      <c r="E66" s="3"/>
      <c r="F66" s="3"/>
      <c r="G66" s="3"/>
      <c r="H66" s="3"/>
      <c r="I66" s="14"/>
      <c r="J66" s="2"/>
      <c r="K66" s="53"/>
      <c r="L66" s="57">
        <f>L65+1%</f>
        <v>0.1237848554980846</v>
      </c>
      <c r="M66" s="61">
        <v>46.951744012140523</v>
      </c>
      <c r="N66" s="62">
        <v>50.920175678479012</v>
      </c>
      <c r="O66" s="62">
        <v>60.366930375104438</v>
      </c>
      <c r="P66" s="62">
        <v>65.163437488308091</v>
      </c>
      <c r="Q66" s="61">
        <v>71.373231136173317</v>
      </c>
      <c r="R66" s="2"/>
    </row>
    <row r="67" spans="1:18" s="51" customFormat="1" x14ac:dyDescent="0.25">
      <c r="A67" s="1"/>
      <c r="B67" s="16" t="s">
        <v>40</v>
      </c>
      <c r="C67" s="16"/>
      <c r="D67" s="65">
        <f>D66*J5</f>
        <v>71643.678179279988</v>
      </c>
      <c r="E67" s="16"/>
      <c r="F67" s="16"/>
      <c r="G67" s="16"/>
      <c r="H67" s="33"/>
      <c r="I67" s="1"/>
      <c r="J67" s="2"/>
      <c r="K67" s="53"/>
      <c r="L67" s="57">
        <f>L66+0.5%</f>
        <v>0.1287848554980846</v>
      </c>
      <c r="M67" s="61">
        <v>44.712864417029593</v>
      </c>
      <c r="N67" s="61">
        <v>48.235089402530534</v>
      </c>
      <c r="O67" s="61">
        <v>56.454916221813463</v>
      </c>
      <c r="P67" s="61">
        <v>60.546550034127208</v>
      </c>
      <c r="Q67" s="61">
        <v>65.768398208308696</v>
      </c>
      <c r="R67" s="2"/>
    </row>
    <row r="68" spans="1:18" s="51" customFormat="1" x14ac:dyDescent="0.25">
      <c r="A68" s="1"/>
      <c r="B68" s="6" t="s">
        <v>41</v>
      </c>
      <c r="C68" s="6" t="s">
        <v>42</v>
      </c>
      <c r="D68" s="34">
        <f>(G68+H68)/2</f>
        <v>69.794722872751336</v>
      </c>
      <c r="E68" s="2"/>
      <c r="F68" s="6"/>
      <c r="G68" s="34">
        <f>G65/D66</f>
        <v>73.826731596430633</v>
      </c>
      <c r="H68" s="34">
        <f>H65/D66</f>
        <v>65.762714149072039</v>
      </c>
      <c r="I68" s="14"/>
      <c r="J68" s="2"/>
      <c r="K68" s="2"/>
      <c r="L68" s="2"/>
      <c r="M68" s="2"/>
      <c r="N68" s="2"/>
      <c r="O68" s="2"/>
      <c r="P68" s="2"/>
      <c r="Q68" s="2"/>
      <c r="R68" s="2"/>
    </row>
  </sheetData>
  <sortState xmlns:xlrd2="http://schemas.microsoft.com/office/spreadsheetml/2017/richdata2" columnSort="1" ref="C10:H58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13" sqref="D13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45</v>
      </c>
      <c r="C6" s="2"/>
      <c r="D6" s="42">
        <v>0.1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46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47</v>
      </c>
      <c r="C8" s="2"/>
      <c r="D8" s="43">
        <v>1.34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48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38</v>
      </c>
      <c r="B12" s="2"/>
      <c r="C12" s="20">
        <f>'MU DCF'!D67</f>
        <v>71643.678179279988</v>
      </c>
      <c r="D12" s="2"/>
      <c r="E12" s="2" t="s">
        <v>37</v>
      </c>
      <c r="F12" s="2"/>
      <c r="G12" s="20">
        <f>'MU DCF'!D64</f>
        <v>2704</v>
      </c>
      <c r="H12" s="2"/>
      <c r="I12" s="2" t="s">
        <v>49</v>
      </c>
      <c r="J12" s="2"/>
      <c r="K12" s="20">
        <f>G12+C12</f>
        <v>74347.678179279988</v>
      </c>
      <c r="L12" s="2"/>
    </row>
    <row r="13" spans="1:14" x14ac:dyDescent="0.25">
      <c r="A13" s="2" t="s">
        <v>50</v>
      </c>
      <c r="B13" s="2"/>
      <c r="C13" s="44">
        <f>C12/K12</f>
        <v>0.96363033700286316</v>
      </c>
      <c r="D13" s="2"/>
      <c r="E13" s="2" t="s">
        <v>51</v>
      </c>
      <c r="F13" s="2"/>
      <c r="G13" s="45">
        <f>G12/K12</f>
        <v>3.6369662997136877E-2</v>
      </c>
      <c r="H13" s="2"/>
      <c r="I13" s="2"/>
      <c r="J13" s="2"/>
      <c r="K13" s="2"/>
      <c r="L13" s="2"/>
      <c r="M13" s="35"/>
    </row>
    <row r="14" spans="1:14" x14ac:dyDescent="0.25">
      <c r="A14" s="2" t="s">
        <v>52</v>
      </c>
      <c r="B14" s="2"/>
      <c r="C14" s="46">
        <f>D7+D8*(D9)</f>
        <v>0.1174</v>
      </c>
      <c r="D14" s="2"/>
      <c r="E14" s="2" t="s">
        <v>53</v>
      </c>
      <c r="F14" s="2"/>
      <c r="G14" s="47">
        <v>0.02</v>
      </c>
      <c r="H14" s="2"/>
      <c r="I14" s="48" t="s">
        <v>1</v>
      </c>
      <c r="J14" s="49"/>
      <c r="K14" s="50">
        <f>C13*C14+G14*G13*(1-D6)</f>
        <v>0.11378485549808461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EEB6-FC72-4220-969C-AE62F1D69CE7}">
  <dimension ref="A1:Y34"/>
  <sheetViews>
    <sheetView topLeftCell="A7" workbookViewId="0">
      <selection activeCell="N22" sqref="N22"/>
    </sheetView>
  </sheetViews>
  <sheetFormatPr defaultRowHeight="15" x14ac:dyDescent="0.25"/>
  <sheetData>
    <row r="1" spans="1:25" x14ac:dyDescent="0.25">
      <c r="A1" s="66" t="s">
        <v>56</v>
      </c>
      <c r="B1" s="66"/>
      <c r="C1" s="66"/>
      <c r="D1" s="66"/>
      <c r="E1" s="66"/>
      <c r="F1" s="66"/>
      <c r="R1" s="68"/>
      <c r="S1" s="68"/>
      <c r="U1" s="68"/>
      <c r="V1" s="68"/>
      <c r="X1" s="68"/>
      <c r="Y1" s="68"/>
    </row>
    <row r="2" spans="1:25" x14ac:dyDescent="0.25">
      <c r="R2" s="75"/>
      <c r="U2" s="75"/>
      <c r="X2" s="75"/>
    </row>
    <row r="3" spans="1:25" x14ac:dyDescent="0.25">
      <c r="R3" s="35"/>
      <c r="U3" s="35"/>
      <c r="X3" s="35"/>
    </row>
    <row r="4" spans="1:25" x14ac:dyDescent="0.25">
      <c r="A4" s="67" t="s">
        <v>57</v>
      </c>
      <c r="B4" s="67"/>
      <c r="C4" s="67"/>
      <c r="D4" s="68">
        <v>2020</v>
      </c>
      <c r="E4" s="68">
        <v>2021</v>
      </c>
      <c r="F4" s="68">
        <v>2022</v>
      </c>
      <c r="G4" s="68"/>
      <c r="H4" s="67" t="s">
        <v>57</v>
      </c>
      <c r="J4" s="68">
        <v>2017</v>
      </c>
      <c r="K4" s="68">
        <v>2018</v>
      </c>
      <c r="L4" s="68">
        <v>2019</v>
      </c>
      <c r="R4" s="35"/>
      <c r="U4" s="35"/>
      <c r="X4" s="35"/>
    </row>
    <row r="5" spans="1:25" x14ac:dyDescent="0.25">
      <c r="H5" t="s">
        <v>7</v>
      </c>
      <c r="J5" s="75">
        <v>20322</v>
      </c>
      <c r="K5" s="75">
        <v>30391</v>
      </c>
      <c r="L5" s="75">
        <v>23406</v>
      </c>
    </row>
    <row r="6" spans="1:25" x14ac:dyDescent="0.25">
      <c r="A6" s="67" t="s">
        <v>7</v>
      </c>
      <c r="B6" s="67"/>
      <c r="C6" s="67"/>
      <c r="D6" s="69">
        <v>21435</v>
      </c>
      <c r="E6" s="69">
        <v>27705</v>
      </c>
      <c r="F6" s="69">
        <v>30758</v>
      </c>
      <c r="G6" s="69"/>
      <c r="H6" t="s">
        <v>58</v>
      </c>
      <c r="J6" s="35">
        <v>11886</v>
      </c>
      <c r="K6" s="35">
        <v>12500</v>
      </c>
      <c r="L6" s="35">
        <v>12704</v>
      </c>
      <c r="R6" s="35"/>
      <c r="U6" s="35"/>
      <c r="X6" s="35"/>
    </row>
    <row r="7" spans="1:25" x14ac:dyDescent="0.25">
      <c r="A7" s="67" t="s">
        <v>58</v>
      </c>
      <c r="B7" s="67"/>
      <c r="C7" s="67"/>
      <c r="D7" s="70">
        <v>14883</v>
      </c>
      <c r="E7" s="70">
        <v>17282</v>
      </c>
      <c r="F7" s="70">
        <v>16860</v>
      </c>
      <c r="G7" s="70"/>
      <c r="H7" t="s">
        <v>59</v>
      </c>
      <c r="J7" s="35">
        <v>8436</v>
      </c>
      <c r="K7" s="35">
        <v>17891</v>
      </c>
      <c r="L7" s="35">
        <v>10702</v>
      </c>
      <c r="R7" s="35"/>
      <c r="U7" s="35"/>
      <c r="X7" s="35"/>
    </row>
    <row r="8" spans="1:25" x14ac:dyDescent="0.25">
      <c r="A8" s="67" t="s">
        <v>59</v>
      </c>
      <c r="B8" s="67"/>
      <c r="C8" s="67"/>
      <c r="D8" s="70">
        <v>6552</v>
      </c>
      <c r="E8" s="70">
        <v>10423</v>
      </c>
      <c r="F8" s="70">
        <v>13898</v>
      </c>
      <c r="G8" s="70"/>
      <c r="R8" s="35"/>
      <c r="U8" s="76"/>
      <c r="X8" s="35"/>
    </row>
    <row r="9" spans="1:25" x14ac:dyDescent="0.25">
      <c r="H9" t="s">
        <v>61</v>
      </c>
      <c r="J9" s="35">
        <v>743</v>
      </c>
      <c r="K9" s="35">
        <v>813</v>
      </c>
      <c r="L9" s="35">
        <v>836</v>
      </c>
      <c r="R9" s="35"/>
      <c r="U9" s="35"/>
      <c r="X9" s="35"/>
    </row>
    <row r="10" spans="1:25" x14ac:dyDescent="0.25">
      <c r="A10" s="67" t="s">
        <v>60</v>
      </c>
      <c r="B10" s="67"/>
      <c r="C10" s="67"/>
      <c r="D10" s="70">
        <v>2600</v>
      </c>
      <c r="E10" s="70">
        <v>2663</v>
      </c>
      <c r="F10" s="70">
        <v>3116</v>
      </c>
      <c r="G10" s="70"/>
      <c r="H10" t="s">
        <v>60</v>
      </c>
      <c r="J10" s="35">
        <v>1824</v>
      </c>
      <c r="K10" s="35">
        <v>2141</v>
      </c>
      <c r="L10" s="35">
        <v>2441</v>
      </c>
    </row>
    <row r="11" spans="1:25" x14ac:dyDescent="0.25">
      <c r="A11" s="67" t="s">
        <v>61</v>
      </c>
      <c r="B11" s="67"/>
      <c r="C11" s="67"/>
      <c r="D11" s="70">
        <v>881</v>
      </c>
      <c r="E11" s="70">
        <v>894</v>
      </c>
      <c r="F11" s="70">
        <v>1066</v>
      </c>
      <c r="G11" s="70"/>
      <c r="H11" t="s">
        <v>63</v>
      </c>
      <c r="J11" s="35">
        <v>1</v>
      </c>
      <c r="K11" s="76">
        <v>-57</v>
      </c>
      <c r="L11" s="35">
        <v>49</v>
      </c>
      <c r="R11" s="35"/>
      <c r="U11" s="35"/>
      <c r="X11" s="35"/>
    </row>
    <row r="12" spans="1:25" x14ac:dyDescent="0.25">
      <c r="A12" s="67" t="s">
        <v>62</v>
      </c>
      <c r="B12" s="67"/>
      <c r="C12" s="67"/>
      <c r="D12" s="70">
        <v>60</v>
      </c>
      <c r="E12" s="70">
        <v>488</v>
      </c>
      <c r="F12" s="70">
        <v>48</v>
      </c>
      <c r="G12" s="70"/>
      <c r="H12" t="s">
        <v>16</v>
      </c>
      <c r="J12" s="35">
        <v>5868</v>
      </c>
      <c r="K12" s="35">
        <v>14994</v>
      </c>
      <c r="L12" s="35">
        <v>7376</v>
      </c>
      <c r="R12" s="76"/>
      <c r="U12" s="76"/>
      <c r="X12" s="76"/>
    </row>
    <row r="13" spans="1:25" x14ac:dyDescent="0.25">
      <c r="A13" s="67" t="s">
        <v>63</v>
      </c>
      <c r="B13" s="67"/>
      <c r="C13" s="67"/>
      <c r="D13" s="70">
        <v>8</v>
      </c>
      <c r="E13" s="70">
        <v>95</v>
      </c>
      <c r="F13" s="71">
        <v>-34</v>
      </c>
      <c r="G13" s="71"/>
      <c r="R13" s="76"/>
      <c r="U13" s="76"/>
      <c r="X13" s="76"/>
    </row>
    <row r="14" spans="1:25" x14ac:dyDescent="0.25">
      <c r="A14" s="67" t="s">
        <v>16</v>
      </c>
      <c r="B14" s="67"/>
      <c r="C14" s="67"/>
      <c r="D14" s="70">
        <v>3003</v>
      </c>
      <c r="E14" s="70">
        <v>6283</v>
      </c>
      <c r="F14" s="70">
        <v>9702</v>
      </c>
      <c r="G14" s="70"/>
      <c r="H14" t="s">
        <v>64</v>
      </c>
      <c r="J14" s="35">
        <v>41</v>
      </c>
      <c r="K14" s="35">
        <v>120</v>
      </c>
      <c r="L14" s="35">
        <v>205</v>
      </c>
      <c r="R14" s="35"/>
      <c r="U14" s="35"/>
      <c r="X14" s="35"/>
    </row>
    <row r="15" spans="1:25" x14ac:dyDescent="0.25">
      <c r="H15" t="s">
        <v>65</v>
      </c>
      <c r="J15" s="76">
        <v>-601</v>
      </c>
      <c r="K15" s="76">
        <v>-342</v>
      </c>
      <c r="L15" s="76">
        <v>-128</v>
      </c>
    </row>
    <row r="16" spans="1:25" x14ac:dyDescent="0.25">
      <c r="A16" s="67" t="s">
        <v>64</v>
      </c>
      <c r="B16" s="67"/>
      <c r="C16" s="67"/>
      <c r="D16" s="70">
        <v>114</v>
      </c>
      <c r="E16" s="70">
        <v>37</v>
      </c>
      <c r="F16" s="70">
        <v>96</v>
      </c>
      <c r="G16" s="70"/>
      <c r="H16" t="s">
        <v>66</v>
      </c>
      <c r="J16" s="76">
        <v>-112</v>
      </c>
      <c r="K16" s="76">
        <v>-465</v>
      </c>
      <c r="L16" s="76">
        <v>-405</v>
      </c>
      <c r="R16" s="76"/>
      <c r="U16" s="76"/>
      <c r="X16" s="76"/>
    </row>
    <row r="17" spans="1:24" x14ac:dyDescent="0.25">
      <c r="A17" s="67" t="s">
        <v>65</v>
      </c>
      <c r="B17" s="67"/>
      <c r="C17" s="67"/>
      <c r="D17" s="71">
        <v>-194</v>
      </c>
      <c r="E17" s="71">
        <v>-183</v>
      </c>
      <c r="F17" s="71">
        <v>-189</v>
      </c>
      <c r="G17" s="71"/>
      <c r="J17" s="35">
        <v>5196</v>
      </c>
      <c r="K17" s="35">
        <v>14307</v>
      </c>
      <c r="L17" s="35">
        <v>7048</v>
      </c>
      <c r="R17" s="35"/>
      <c r="U17" s="76"/>
      <c r="X17" s="35"/>
    </row>
    <row r="18" spans="1:24" x14ac:dyDescent="0.25">
      <c r="A18" s="67" t="s">
        <v>66</v>
      </c>
      <c r="B18" s="67"/>
      <c r="C18" s="67"/>
      <c r="D18" s="70">
        <v>60</v>
      </c>
      <c r="E18" s="70">
        <v>81</v>
      </c>
      <c r="F18" s="71">
        <v>-38</v>
      </c>
      <c r="G18" s="71"/>
      <c r="R18" s="35"/>
      <c r="U18" s="35"/>
      <c r="X18" s="35"/>
    </row>
    <row r="19" spans="1:24" x14ac:dyDescent="0.25">
      <c r="D19" s="70">
        <v>2983</v>
      </c>
      <c r="E19" s="70">
        <v>6218</v>
      </c>
      <c r="F19" s="70">
        <v>9571</v>
      </c>
      <c r="G19" s="70"/>
      <c r="H19" t="s">
        <v>67</v>
      </c>
      <c r="J19" s="76">
        <v>-114</v>
      </c>
      <c r="K19" s="76">
        <v>-168</v>
      </c>
      <c r="L19" s="76">
        <v>-693</v>
      </c>
    </row>
    <row r="20" spans="1:24" x14ac:dyDescent="0.25">
      <c r="H20" t="s">
        <v>68</v>
      </c>
      <c r="J20" s="35">
        <v>8</v>
      </c>
      <c r="K20" s="76">
        <v>-1</v>
      </c>
      <c r="L20" s="35">
        <v>3</v>
      </c>
      <c r="R20" s="76"/>
      <c r="U20" s="76"/>
      <c r="X20" s="76"/>
    </row>
    <row r="21" spans="1:24" x14ac:dyDescent="0.25">
      <c r="A21" s="67" t="s">
        <v>67</v>
      </c>
      <c r="B21" s="67"/>
      <c r="C21" s="67"/>
      <c r="D21" s="71">
        <v>-280</v>
      </c>
      <c r="E21" s="71">
        <v>-394</v>
      </c>
      <c r="F21" s="71">
        <v>-888</v>
      </c>
      <c r="G21" s="71"/>
      <c r="H21" t="s">
        <v>28</v>
      </c>
      <c r="J21" s="35">
        <v>5090</v>
      </c>
      <c r="K21" s="35">
        <v>14138</v>
      </c>
      <c r="L21" s="35">
        <v>6358</v>
      </c>
      <c r="R21" s="75"/>
      <c r="U21" s="75"/>
      <c r="X21" s="75"/>
    </row>
    <row r="22" spans="1:24" x14ac:dyDescent="0.25">
      <c r="A22" s="67" t="s">
        <v>68</v>
      </c>
      <c r="B22" s="67"/>
      <c r="C22" s="67"/>
      <c r="D22" s="70">
        <v>7</v>
      </c>
      <c r="E22" s="70">
        <v>37</v>
      </c>
      <c r="F22" s="70">
        <v>4</v>
      </c>
      <c r="G22" s="70"/>
    </row>
    <row r="23" spans="1:24" x14ac:dyDescent="0.25">
      <c r="A23" s="67" t="s">
        <v>28</v>
      </c>
      <c r="B23" s="67"/>
      <c r="C23" s="67"/>
      <c r="D23" s="70">
        <v>2710</v>
      </c>
      <c r="E23" s="70">
        <v>5861</v>
      </c>
      <c r="F23" s="70">
        <v>8687</v>
      </c>
      <c r="G23" s="70"/>
      <c r="H23" t="s">
        <v>69</v>
      </c>
      <c r="J23" s="76">
        <v>-1</v>
      </c>
      <c r="K23" s="76">
        <v>-3</v>
      </c>
      <c r="L23" s="76">
        <v>-45</v>
      </c>
    </row>
    <row r="24" spans="1:24" x14ac:dyDescent="0.25">
      <c r="H24" t="s">
        <v>71</v>
      </c>
      <c r="J24" s="75">
        <v>5089</v>
      </c>
      <c r="K24" s="75">
        <v>14135</v>
      </c>
      <c r="L24" s="75">
        <v>6313</v>
      </c>
      <c r="R24" s="77"/>
      <c r="U24" s="77"/>
      <c r="X24" s="77"/>
    </row>
    <row r="25" spans="1:24" x14ac:dyDescent="0.25">
      <c r="A25" s="67" t="s">
        <v>69</v>
      </c>
      <c r="B25" s="67"/>
      <c r="C25" s="67"/>
      <c r="D25" s="71">
        <v>-23</v>
      </c>
      <c r="E25" s="67" t="s">
        <v>70</v>
      </c>
      <c r="F25" s="67" t="s">
        <v>70</v>
      </c>
      <c r="G25" s="67"/>
      <c r="R25" s="78"/>
      <c r="U25" s="78"/>
      <c r="X25" s="78"/>
    </row>
    <row r="26" spans="1:24" x14ac:dyDescent="0.25">
      <c r="A26" s="67" t="s">
        <v>71</v>
      </c>
      <c r="B26" s="67"/>
      <c r="C26" s="67"/>
      <c r="D26" s="69">
        <v>2687</v>
      </c>
      <c r="E26" s="69">
        <v>5861</v>
      </c>
      <c r="F26" s="69">
        <v>8687</v>
      </c>
      <c r="G26" s="69"/>
      <c r="H26" t="s">
        <v>72</v>
      </c>
    </row>
    <row r="27" spans="1:24" x14ac:dyDescent="0.25">
      <c r="H27" t="s">
        <v>73</v>
      </c>
      <c r="J27" s="77">
        <v>4.67</v>
      </c>
      <c r="K27" s="77">
        <v>12.27</v>
      </c>
      <c r="L27" s="77">
        <v>5.67</v>
      </c>
    </row>
    <row r="28" spans="1:24" x14ac:dyDescent="0.25">
      <c r="A28" s="67" t="s">
        <v>72</v>
      </c>
      <c r="B28" s="67"/>
      <c r="C28" s="67"/>
      <c r="H28" t="s">
        <v>74</v>
      </c>
      <c r="J28" s="78">
        <v>4.41</v>
      </c>
      <c r="K28" s="78">
        <v>11.51</v>
      </c>
      <c r="L28" s="78">
        <v>5.51</v>
      </c>
      <c r="R28" s="35"/>
      <c r="U28" s="35"/>
      <c r="X28" s="35"/>
    </row>
    <row r="29" spans="1:24" x14ac:dyDescent="0.25">
      <c r="A29" s="67" t="s">
        <v>73</v>
      </c>
      <c r="B29" s="67"/>
      <c r="C29" s="67"/>
      <c r="D29" s="72">
        <v>2.42</v>
      </c>
      <c r="E29" s="72">
        <v>5.23</v>
      </c>
      <c r="F29" s="72">
        <v>7.81</v>
      </c>
      <c r="G29" s="72"/>
      <c r="R29" s="35"/>
      <c r="U29" s="35"/>
      <c r="X29" s="35"/>
    </row>
    <row r="30" spans="1:24" x14ac:dyDescent="0.25">
      <c r="A30" s="67" t="s">
        <v>74</v>
      </c>
      <c r="B30" s="67"/>
      <c r="C30" s="67"/>
      <c r="D30" s="73">
        <v>2.37</v>
      </c>
      <c r="E30" s="73">
        <v>5.14</v>
      </c>
      <c r="F30" s="73">
        <v>7.75</v>
      </c>
      <c r="G30" s="73"/>
      <c r="H30" t="s">
        <v>75</v>
      </c>
    </row>
    <row r="31" spans="1:24" x14ac:dyDescent="0.25">
      <c r="H31" t="s">
        <v>73</v>
      </c>
      <c r="J31" s="35">
        <v>1089</v>
      </c>
      <c r="K31" s="35">
        <v>1152</v>
      </c>
      <c r="L31" s="35">
        <v>1114</v>
      </c>
    </row>
    <row r="32" spans="1:24" x14ac:dyDescent="0.25">
      <c r="A32" s="67" t="s">
        <v>75</v>
      </c>
      <c r="B32" s="67"/>
      <c r="C32" s="67"/>
      <c r="H32" t="s">
        <v>74</v>
      </c>
      <c r="J32" s="35">
        <v>1154</v>
      </c>
      <c r="K32" s="35">
        <v>1229</v>
      </c>
      <c r="L32" s="35">
        <v>1143</v>
      </c>
    </row>
    <row r="33" spans="1:9" x14ac:dyDescent="0.25">
      <c r="A33" s="67" t="s">
        <v>73</v>
      </c>
      <c r="B33" s="67"/>
      <c r="C33" s="67"/>
      <c r="D33" s="70">
        <v>1110</v>
      </c>
      <c r="E33" s="70">
        <v>1120</v>
      </c>
      <c r="F33" s="70">
        <v>1112</v>
      </c>
      <c r="G33" s="70"/>
      <c r="I33" s="70"/>
    </row>
    <row r="34" spans="1:9" x14ac:dyDescent="0.25">
      <c r="A34" s="67" t="s">
        <v>74</v>
      </c>
      <c r="B34" s="67"/>
      <c r="C34" s="67"/>
      <c r="D34" s="70">
        <v>1131</v>
      </c>
      <c r="E34" s="70">
        <v>1141</v>
      </c>
      <c r="F34" s="70">
        <v>1122</v>
      </c>
      <c r="G34" s="70"/>
      <c r="I34" s="70"/>
    </row>
  </sheetData>
  <sortState xmlns:xlrd2="http://schemas.microsoft.com/office/spreadsheetml/2017/richdata2" columnSort="1" ref="O1:W29">
    <sortCondition ref="O1:W1"/>
  </sortState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4108-081D-4EA3-B0D1-D89F7B0752C1}">
  <dimension ref="A1:U48"/>
  <sheetViews>
    <sheetView topLeftCell="A4" workbookViewId="0">
      <selection activeCell="A20" sqref="A20"/>
    </sheetView>
  </sheetViews>
  <sheetFormatPr defaultRowHeight="15" x14ac:dyDescent="0.25"/>
  <cols>
    <col min="1" max="1" width="68.28515625" customWidth="1"/>
  </cols>
  <sheetData>
    <row r="1" spans="1:21" x14ac:dyDescent="0.25">
      <c r="A1" s="67" t="s">
        <v>57</v>
      </c>
      <c r="B1" s="67"/>
      <c r="C1" s="67"/>
      <c r="D1" s="68">
        <v>2020</v>
      </c>
      <c r="E1" s="68">
        <v>2021</v>
      </c>
      <c r="F1" s="68">
        <v>2022</v>
      </c>
      <c r="G1" s="68"/>
      <c r="H1" s="68"/>
      <c r="I1" s="67" t="s">
        <v>57</v>
      </c>
      <c r="K1" s="68">
        <v>2017</v>
      </c>
      <c r="L1" s="68">
        <v>2018</v>
      </c>
      <c r="M1" s="68">
        <v>2019</v>
      </c>
      <c r="N1" s="68"/>
      <c r="O1" s="68"/>
      <c r="Q1" s="68"/>
      <c r="R1" s="68"/>
      <c r="T1" s="68"/>
      <c r="U1" s="68"/>
    </row>
    <row r="2" spans="1:21" x14ac:dyDescent="0.25">
      <c r="I2" s="67" t="s">
        <v>76</v>
      </c>
    </row>
    <row r="3" spans="1:21" x14ac:dyDescent="0.25">
      <c r="A3" s="67" t="s">
        <v>76</v>
      </c>
      <c r="B3" s="67"/>
      <c r="C3" s="67"/>
      <c r="I3" t="s">
        <v>28</v>
      </c>
      <c r="K3" s="75">
        <v>5090</v>
      </c>
      <c r="L3" s="75">
        <v>14138</v>
      </c>
      <c r="M3" s="75">
        <v>6358</v>
      </c>
      <c r="N3" s="75"/>
      <c r="Q3" s="75"/>
      <c r="T3" s="75"/>
    </row>
    <row r="4" spans="1:21" x14ac:dyDescent="0.25">
      <c r="A4" s="67" t="s">
        <v>28</v>
      </c>
      <c r="B4" s="67"/>
      <c r="C4" s="67"/>
      <c r="D4" s="69">
        <v>2710</v>
      </c>
      <c r="E4" s="69">
        <v>5861</v>
      </c>
      <c r="F4" s="69">
        <v>8687</v>
      </c>
      <c r="G4" s="69"/>
      <c r="I4" t="s">
        <v>112</v>
      </c>
    </row>
    <row r="5" spans="1:21" x14ac:dyDescent="0.25">
      <c r="A5" s="67" t="s">
        <v>77</v>
      </c>
      <c r="B5" s="67"/>
      <c r="C5" s="67"/>
      <c r="E5" s="67"/>
      <c r="F5" s="67"/>
      <c r="G5" s="67"/>
      <c r="I5" t="s">
        <v>78</v>
      </c>
      <c r="K5" s="35">
        <v>3861</v>
      </c>
      <c r="L5" s="35">
        <v>4759</v>
      </c>
      <c r="M5" s="35">
        <v>5424</v>
      </c>
      <c r="N5" s="35"/>
      <c r="Q5" s="35"/>
      <c r="T5" s="35"/>
    </row>
    <row r="6" spans="1:21" x14ac:dyDescent="0.25">
      <c r="A6" s="67" t="s">
        <v>78</v>
      </c>
      <c r="B6" s="67"/>
      <c r="C6" s="67"/>
      <c r="D6" s="70">
        <v>5650</v>
      </c>
      <c r="E6" s="70">
        <v>6214</v>
      </c>
      <c r="F6" s="70">
        <v>7116</v>
      </c>
      <c r="G6" s="70"/>
      <c r="I6" t="s">
        <v>113</v>
      </c>
      <c r="K6" s="35">
        <v>125</v>
      </c>
      <c r="L6" s="35">
        <v>101</v>
      </c>
      <c r="M6" s="35">
        <v>49</v>
      </c>
      <c r="N6" s="35"/>
      <c r="Q6" s="35"/>
      <c r="T6" s="35"/>
    </row>
    <row r="7" spans="1:21" x14ac:dyDescent="0.25">
      <c r="A7" s="67" t="s">
        <v>79</v>
      </c>
      <c r="B7" s="67"/>
      <c r="C7" s="67"/>
      <c r="D7" s="70">
        <v>328</v>
      </c>
      <c r="E7" s="70">
        <v>378</v>
      </c>
      <c r="F7" s="70">
        <v>514</v>
      </c>
      <c r="G7" s="70"/>
      <c r="I7" t="s">
        <v>114</v>
      </c>
      <c r="K7" s="35">
        <v>99</v>
      </c>
      <c r="L7" s="35">
        <v>385</v>
      </c>
      <c r="M7" s="35">
        <v>396</v>
      </c>
      <c r="N7" s="35"/>
      <c r="Q7" s="35"/>
      <c r="T7" s="35"/>
    </row>
    <row r="8" spans="1:21" x14ac:dyDescent="0.25">
      <c r="A8" s="67" t="s">
        <v>80</v>
      </c>
      <c r="B8" s="67"/>
      <c r="C8" s="67"/>
      <c r="D8" s="71">
        <v>-40</v>
      </c>
      <c r="E8" s="70">
        <v>1</v>
      </c>
      <c r="F8" s="70">
        <v>83</v>
      </c>
      <c r="G8" s="70"/>
      <c r="I8" t="s">
        <v>79</v>
      </c>
      <c r="K8" s="35">
        <v>215</v>
      </c>
      <c r="L8" s="35">
        <v>198</v>
      </c>
      <c r="M8" s="35">
        <v>243</v>
      </c>
      <c r="N8" s="35"/>
      <c r="Q8" s="35"/>
      <c r="T8" s="35"/>
    </row>
    <row r="9" spans="1:21" x14ac:dyDescent="0.25">
      <c r="A9" s="67" t="s">
        <v>62</v>
      </c>
      <c r="B9" s="67"/>
      <c r="C9" s="67"/>
      <c r="D9" s="70">
        <v>40</v>
      </c>
      <c r="E9" s="70">
        <v>454</v>
      </c>
      <c r="F9" s="70">
        <v>44</v>
      </c>
      <c r="G9" s="70"/>
      <c r="I9" t="s">
        <v>115</v>
      </c>
      <c r="K9" s="76">
        <v>-71</v>
      </c>
      <c r="L9" t="s">
        <v>70</v>
      </c>
      <c r="M9" t="s">
        <v>70</v>
      </c>
      <c r="T9" s="76"/>
    </row>
    <row r="10" spans="1:21" x14ac:dyDescent="0.25">
      <c r="A10" s="67" t="s">
        <v>81</v>
      </c>
      <c r="B10" s="67"/>
      <c r="C10" s="67"/>
      <c r="E10" s="67"/>
      <c r="F10" s="67"/>
      <c r="G10" s="67"/>
      <c r="I10" t="s">
        <v>116</v>
      </c>
    </row>
    <row r="11" spans="1:21" x14ac:dyDescent="0.25">
      <c r="A11" s="67" t="s">
        <v>82</v>
      </c>
      <c r="B11" s="67"/>
      <c r="C11" s="67"/>
      <c r="D11" s="71">
        <v>-723</v>
      </c>
      <c r="E11" s="71">
        <v>-1446</v>
      </c>
      <c r="F11" s="70">
        <v>190</v>
      </c>
      <c r="G11" s="70"/>
      <c r="I11" t="s">
        <v>82</v>
      </c>
      <c r="K11" s="76">
        <v>-1651</v>
      </c>
      <c r="L11" s="76">
        <v>-1734</v>
      </c>
      <c r="M11" s="35">
        <v>2431</v>
      </c>
      <c r="N11" s="35"/>
      <c r="Q11" s="76"/>
      <c r="T11" s="76"/>
    </row>
    <row r="12" spans="1:21" x14ac:dyDescent="0.25">
      <c r="A12" s="67" t="s">
        <v>83</v>
      </c>
      <c r="B12" s="67"/>
      <c r="C12" s="67"/>
      <c r="D12" s="71">
        <v>-435</v>
      </c>
      <c r="E12" s="70">
        <v>866</v>
      </c>
      <c r="F12" s="71">
        <v>-2179</v>
      </c>
      <c r="G12" s="71"/>
      <c r="I12" t="s">
        <v>83</v>
      </c>
      <c r="K12" s="35">
        <v>50</v>
      </c>
      <c r="L12" s="76">
        <v>-472</v>
      </c>
      <c r="M12" s="76">
        <v>-1528</v>
      </c>
      <c r="N12" s="76"/>
      <c r="Q12" s="76"/>
      <c r="T12" s="35"/>
    </row>
    <row r="13" spans="1:21" x14ac:dyDescent="0.25">
      <c r="A13" s="67" t="s">
        <v>84</v>
      </c>
      <c r="B13" s="67"/>
      <c r="C13" s="67"/>
      <c r="D13" s="70">
        <v>725</v>
      </c>
      <c r="E13" s="70">
        <v>210</v>
      </c>
      <c r="F13" s="70">
        <v>744</v>
      </c>
      <c r="G13" s="70"/>
      <c r="I13" t="s">
        <v>84</v>
      </c>
      <c r="K13" s="35">
        <v>456</v>
      </c>
      <c r="L13" s="35">
        <v>668</v>
      </c>
      <c r="M13" s="76">
        <v>-174</v>
      </c>
      <c r="N13" s="76"/>
      <c r="Q13" s="35"/>
      <c r="T13" s="35"/>
    </row>
    <row r="14" spans="1:21" x14ac:dyDescent="0.25">
      <c r="A14" s="67" t="s">
        <v>85</v>
      </c>
      <c r="B14" s="67"/>
      <c r="C14" s="67"/>
      <c r="D14" s="70">
        <v>51</v>
      </c>
      <c r="E14" s="71">
        <v>-70</v>
      </c>
      <c r="F14" s="71">
        <v>-18</v>
      </c>
      <c r="G14" s="71"/>
      <c r="I14" t="s">
        <v>117</v>
      </c>
      <c r="K14" s="76">
        <v>-361</v>
      </c>
      <c r="L14" t="s">
        <v>70</v>
      </c>
      <c r="M14" t="s">
        <v>70</v>
      </c>
      <c r="T14" s="76"/>
    </row>
    <row r="15" spans="1:21" x14ac:dyDescent="0.25">
      <c r="A15" s="67" t="s">
        <v>86</v>
      </c>
      <c r="B15" s="67"/>
      <c r="C15" s="67"/>
      <c r="D15" s="70">
        <v>8306</v>
      </c>
      <c r="E15" s="70">
        <v>12468</v>
      </c>
      <c r="F15" s="70">
        <v>15181</v>
      </c>
      <c r="G15" s="70"/>
      <c r="I15" t="s">
        <v>118</v>
      </c>
      <c r="K15" s="76">
        <v>-22</v>
      </c>
      <c r="L15" s="76">
        <v>-265</v>
      </c>
      <c r="M15" s="35">
        <v>150</v>
      </c>
      <c r="N15" s="35"/>
      <c r="Q15" s="76"/>
      <c r="T15" s="76"/>
    </row>
    <row r="16" spans="1:21" x14ac:dyDescent="0.25">
      <c r="I16" t="s">
        <v>85</v>
      </c>
      <c r="K16" s="35">
        <v>362</v>
      </c>
      <c r="L16" s="76">
        <v>-378</v>
      </c>
      <c r="M16" s="76">
        <v>-160</v>
      </c>
      <c r="N16" s="76"/>
      <c r="Q16" s="76"/>
      <c r="T16" s="35"/>
    </row>
    <row r="17" spans="1:20" x14ac:dyDescent="0.25">
      <c r="A17" s="67" t="s">
        <v>87</v>
      </c>
      <c r="B17" s="67"/>
      <c r="C17" s="67"/>
      <c r="E17" s="67"/>
      <c r="F17" s="67"/>
      <c r="G17" s="67"/>
      <c r="I17" t="s">
        <v>86</v>
      </c>
      <c r="K17" s="35">
        <v>8153</v>
      </c>
      <c r="L17" s="35">
        <v>17400</v>
      </c>
      <c r="M17" s="35">
        <v>13189</v>
      </c>
      <c r="N17" s="35"/>
      <c r="Q17" s="35"/>
      <c r="T17" s="35"/>
    </row>
    <row r="18" spans="1:20" x14ac:dyDescent="0.25">
      <c r="A18" s="67" t="s">
        <v>88</v>
      </c>
      <c r="B18" s="67"/>
      <c r="C18" s="67"/>
      <c r="D18" s="71">
        <v>-8223</v>
      </c>
      <c r="E18" s="71">
        <v>-10030</v>
      </c>
      <c r="F18" s="71">
        <v>-12067</v>
      </c>
      <c r="G18" s="71"/>
    </row>
    <row r="19" spans="1:20" x14ac:dyDescent="0.25">
      <c r="A19" s="67" t="s">
        <v>89</v>
      </c>
      <c r="B19" s="67"/>
      <c r="C19" s="67"/>
      <c r="D19" s="71">
        <v>-1857</v>
      </c>
      <c r="E19" s="71">
        <v>-3163</v>
      </c>
      <c r="F19" s="71">
        <v>-1770</v>
      </c>
      <c r="G19" s="71"/>
      <c r="I19" s="67" t="s">
        <v>87</v>
      </c>
    </row>
    <row r="20" spans="1:20" x14ac:dyDescent="0.25">
      <c r="A20" s="67" t="s">
        <v>90</v>
      </c>
      <c r="B20" s="67"/>
      <c r="C20" s="67"/>
      <c r="D20" s="70">
        <v>814</v>
      </c>
      <c r="E20" s="70">
        <v>1250</v>
      </c>
      <c r="F20" s="70">
        <v>1321</v>
      </c>
      <c r="G20" s="70"/>
      <c r="I20" t="s">
        <v>88</v>
      </c>
      <c r="K20" s="76">
        <v>-4734</v>
      </c>
      <c r="L20" s="76">
        <v>-8879</v>
      </c>
      <c r="M20" s="76">
        <v>-9780</v>
      </c>
      <c r="N20" s="76"/>
      <c r="Q20" s="76"/>
      <c r="T20" s="76"/>
    </row>
    <row r="21" spans="1:20" x14ac:dyDescent="0.25">
      <c r="A21" s="67" t="s">
        <v>91</v>
      </c>
      <c r="B21" s="67"/>
      <c r="C21" s="67"/>
      <c r="D21" s="67" t="s">
        <v>70</v>
      </c>
      <c r="E21" s="67" t="s">
        <v>70</v>
      </c>
      <c r="F21" s="70">
        <v>888</v>
      </c>
      <c r="G21" s="70"/>
      <c r="I21" t="s">
        <v>89</v>
      </c>
      <c r="K21" s="76">
        <v>-1239</v>
      </c>
      <c r="L21" s="76">
        <v>-760</v>
      </c>
      <c r="M21" s="76">
        <v>-4218</v>
      </c>
      <c r="N21" s="76"/>
      <c r="Q21" s="76"/>
      <c r="T21" s="76"/>
    </row>
    <row r="22" spans="1:20" x14ac:dyDescent="0.25">
      <c r="A22" s="67" t="s">
        <v>92</v>
      </c>
      <c r="B22" s="67"/>
      <c r="C22" s="67"/>
      <c r="D22" s="70">
        <v>1458</v>
      </c>
      <c r="E22" s="70">
        <v>856</v>
      </c>
      <c r="F22" s="70">
        <v>294</v>
      </c>
      <c r="G22" s="70"/>
      <c r="I22" t="s">
        <v>119</v>
      </c>
      <c r="K22" s="76">
        <v>-2634</v>
      </c>
      <c r="L22" t="s">
        <v>70</v>
      </c>
      <c r="M22" t="s">
        <v>70</v>
      </c>
      <c r="T22" s="76"/>
    </row>
    <row r="23" spans="1:20" x14ac:dyDescent="0.25">
      <c r="A23" s="67" t="s">
        <v>93</v>
      </c>
      <c r="B23" s="67"/>
      <c r="C23" s="67"/>
      <c r="D23" s="70">
        <v>262</v>
      </c>
      <c r="E23" s="70">
        <v>495</v>
      </c>
      <c r="F23" s="70">
        <v>115</v>
      </c>
      <c r="G23" s="70"/>
      <c r="I23" t="s">
        <v>90</v>
      </c>
      <c r="K23" s="35">
        <v>194</v>
      </c>
      <c r="L23" s="35">
        <v>320</v>
      </c>
      <c r="M23" s="35">
        <v>1541</v>
      </c>
      <c r="N23" s="35"/>
      <c r="Q23" s="35"/>
      <c r="T23" s="35"/>
    </row>
    <row r="24" spans="1:20" x14ac:dyDescent="0.25">
      <c r="A24" s="67" t="s">
        <v>85</v>
      </c>
      <c r="B24" s="67"/>
      <c r="C24" s="67"/>
      <c r="D24" s="71">
        <v>-43</v>
      </c>
      <c r="E24" s="70">
        <v>3</v>
      </c>
      <c r="F24" s="71">
        <v>-366</v>
      </c>
      <c r="G24" s="71"/>
      <c r="I24" t="s">
        <v>92</v>
      </c>
      <c r="K24" s="35">
        <v>776</v>
      </c>
      <c r="L24" s="35">
        <v>604</v>
      </c>
      <c r="M24" s="35">
        <v>1504</v>
      </c>
      <c r="N24" s="35"/>
      <c r="Q24" s="35"/>
      <c r="T24" s="35"/>
    </row>
    <row r="25" spans="1:20" x14ac:dyDescent="0.25">
      <c r="A25" s="67" t="s">
        <v>94</v>
      </c>
      <c r="B25" s="67"/>
      <c r="C25" s="67"/>
      <c r="D25" s="71">
        <v>-7589</v>
      </c>
      <c r="E25" s="71">
        <v>-10589</v>
      </c>
      <c r="F25" s="71">
        <v>-11585</v>
      </c>
      <c r="G25" s="71"/>
      <c r="I25" t="s">
        <v>93</v>
      </c>
      <c r="K25" s="35">
        <v>21</v>
      </c>
      <c r="L25" s="35">
        <v>355</v>
      </c>
      <c r="M25" s="35">
        <v>748</v>
      </c>
      <c r="N25" s="35"/>
      <c r="Q25" s="35"/>
      <c r="T25" s="35"/>
    </row>
    <row r="26" spans="1:20" x14ac:dyDescent="0.25">
      <c r="I26" t="s">
        <v>85</v>
      </c>
      <c r="K26" s="35">
        <v>79</v>
      </c>
      <c r="L26" s="35">
        <v>144</v>
      </c>
      <c r="M26" s="35">
        <v>120</v>
      </c>
      <c r="N26" s="35"/>
      <c r="Q26" s="35"/>
      <c r="T26" s="35"/>
    </row>
    <row r="27" spans="1:20" x14ac:dyDescent="0.25">
      <c r="A27" s="67" t="s">
        <v>95</v>
      </c>
      <c r="B27" s="67"/>
      <c r="C27" s="67"/>
      <c r="E27" s="67"/>
      <c r="F27" s="67"/>
      <c r="G27" s="67"/>
      <c r="I27" t="s">
        <v>94</v>
      </c>
      <c r="K27" s="76">
        <v>-7537</v>
      </c>
      <c r="L27" s="76">
        <v>-8216</v>
      </c>
      <c r="M27" s="76">
        <v>-10085</v>
      </c>
      <c r="N27" s="76"/>
      <c r="Q27" s="76"/>
      <c r="T27" s="76"/>
    </row>
    <row r="28" spans="1:20" x14ac:dyDescent="0.25">
      <c r="A28" s="67" t="s">
        <v>96</v>
      </c>
      <c r="B28" s="67"/>
      <c r="C28" s="67"/>
      <c r="D28" s="71">
        <v>-176</v>
      </c>
      <c r="E28" s="71">
        <v>-1200</v>
      </c>
      <c r="F28" s="71">
        <v>-2432</v>
      </c>
      <c r="G28" s="71"/>
    </row>
    <row r="29" spans="1:20" x14ac:dyDescent="0.25">
      <c r="A29" s="67" t="s">
        <v>97</v>
      </c>
      <c r="B29" s="67"/>
      <c r="C29" s="67"/>
      <c r="D29" s="71">
        <v>-4366</v>
      </c>
      <c r="E29" s="71">
        <v>-1520</v>
      </c>
      <c r="F29" s="71">
        <v>-2032</v>
      </c>
      <c r="G29" s="71"/>
      <c r="I29" s="67" t="s">
        <v>95</v>
      </c>
    </row>
    <row r="30" spans="1:20" x14ac:dyDescent="0.25">
      <c r="A30" s="67" t="s">
        <v>98</v>
      </c>
      <c r="B30" s="67"/>
      <c r="C30" s="67"/>
      <c r="D30" s="67" t="s">
        <v>70</v>
      </c>
      <c r="E30" s="67" t="s">
        <v>70</v>
      </c>
      <c r="F30" s="71">
        <v>-461</v>
      </c>
      <c r="G30" s="71"/>
      <c r="I30" t="s">
        <v>97</v>
      </c>
      <c r="K30" s="76">
        <v>-2558</v>
      </c>
      <c r="L30" s="76">
        <v>-10194</v>
      </c>
      <c r="M30" s="76">
        <v>-3340</v>
      </c>
      <c r="N30" s="76"/>
      <c r="Q30" s="76"/>
      <c r="T30" s="76"/>
    </row>
    <row r="31" spans="1:20" x14ac:dyDescent="0.25">
      <c r="A31" s="67" t="s">
        <v>99</v>
      </c>
      <c r="B31" s="67"/>
      <c r="C31" s="67"/>
      <c r="D31" s="71">
        <v>-63</v>
      </c>
      <c r="E31" s="71">
        <v>-295</v>
      </c>
      <c r="F31" s="71">
        <v>-141</v>
      </c>
      <c r="G31" s="71"/>
      <c r="I31" t="s">
        <v>120</v>
      </c>
      <c r="K31" s="76">
        <v>-36</v>
      </c>
      <c r="L31" s="76">
        <v>-71</v>
      </c>
      <c r="M31" s="76">
        <v>-2729</v>
      </c>
      <c r="N31" s="76"/>
      <c r="Q31" s="76"/>
      <c r="T31" s="76"/>
    </row>
    <row r="32" spans="1:20" x14ac:dyDescent="0.25">
      <c r="A32" s="67" t="s">
        <v>100</v>
      </c>
      <c r="B32" s="67"/>
      <c r="C32" s="67"/>
      <c r="D32" s="71">
        <v>-75</v>
      </c>
      <c r="E32" s="71">
        <v>-94</v>
      </c>
      <c r="F32" s="71">
        <v>-125</v>
      </c>
      <c r="G32" s="71"/>
      <c r="I32" t="s">
        <v>99</v>
      </c>
      <c r="K32" s="76">
        <v>-519</v>
      </c>
      <c r="L32" s="76">
        <v>-206</v>
      </c>
      <c r="M32" s="76">
        <v>-75</v>
      </c>
      <c r="N32" s="76"/>
      <c r="Q32" s="76"/>
      <c r="T32" s="76"/>
    </row>
    <row r="33" spans="1:20" x14ac:dyDescent="0.25">
      <c r="A33" s="67" t="s">
        <v>101</v>
      </c>
      <c r="B33" s="67"/>
      <c r="C33" s="67"/>
      <c r="D33" s="71">
        <v>-744</v>
      </c>
      <c r="E33" s="67" t="s">
        <v>70</v>
      </c>
      <c r="F33" s="67" t="s">
        <v>70</v>
      </c>
      <c r="G33" s="67"/>
      <c r="I33" t="s">
        <v>102</v>
      </c>
      <c r="K33" s="35">
        <v>3311</v>
      </c>
      <c r="L33" s="35">
        <v>1009</v>
      </c>
      <c r="M33" s="35">
        <v>3550</v>
      </c>
      <c r="N33" s="35"/>
      <c r="Q33" s="35"/>
      <c r="T33" s="35"/>
    </row>
    <row r="34" spans="1:20" x14ac:dyDescent="0.25">
      <c r="A34" s="67" t="s">
        <v>102</v>
      </c>
      <c r="B34" s="67"/>
      <c r="C34" s="67"/>
      <c r="D34" s="70">
        <v>5000</v>
      </c>
      <c r="E34" s="70">
        <v>1188</v>
      </c>
      <c r="F34" s="70">
        <v>2000</v>
      </c>
      <c r="G34" s="70"/>
      <c r="I34" t="s">
        <v>121</v>
      </c>
      <c r="K34" s="35">
        <v>142</v>
      </c>
      <c r="L34" s="35">
        <v>1655</v>
      </c>
      <c r="M34" s="35">
        <v>179</v>
      </c>
      <c r="N34" s="35"/>
      <c r="Q34" s="35"/>
      <c r="T34" s="35"/>
    </row>
    <row r="35" spans="1:20" x14ac:dyDescent="0.25">
      <c r="A35" s="67" t="s">
        <v>85</v>
      </c>
      <c r="B35" s="67"/>
      <c r="C35" s="67"/>
      <c r="D35" s="70">
        <v>107</v>
      </c>
      <c r="E35" s="70">
        <v>140</v>
      </c>
      <c r="F35" s="70">
        <v>211</v>
      </c>
      <c r="G35" s="70"/>
      <c r="I35" t="s">
        <v>85</v>
      </c>
      <c r="K35" s="35">
        <v>9</v>
      </c>
      <c r="L35" s="35">
        <v>31</v>
      </c>
      <c r="M35" s="76">
        <v>-23</v>
      </c>
      <c r="N35" s="76"/>
      <c r="Q35" s="35"/>
      <c r="T35" s="35"/>
    </row>
    <row r="36" spans="1:20" x14ac:dyDescent="0.25">
      <c r="A36" s="67" t="s">
        <v>103</v>
      </c>
      <c r="B36" s="67"/>
      <c r="C36" s="67"/>
      <c r="D36" s="71">
        <v>-317</v>
      </c>
      <c r="E36" s="71">
        <v>-1781</v>
      </c>
      <c r="F36" s="71">
        <v>-2980</v>
      </c>
      <c r="G36" s="71"/>
      <c r="I36" t="s">
        <v>103</v>
      </c>
      <c r="K36" s="35">
        <v>349</v>
      </c>
      <c r="L36" s="76">
        <v>-7776</v>
      </c>
      <c r="M36" s="76">
        <v>-2438</v>
      </c>
      <c r="N36" s="76"/>
      <c r="Q36" s="76"/>
      <c r="T36" s="35"/>
    </row>
    <row r="38" spans="1:20" x14ac:dyDescent="0.25">
      <c r="A38" s="67" t="s">
        <v>104</v>
      </c>
      <c r="B38" s="67"/>
      <c r="C38" s="67"/>
      <c r="D38" s="70">
        <v>11</v>
      </c>
      <c r="E38" s="70">
        <v>41</v>
      </c>
      <c r="F38" s="71">
        <v>-106</v>
      </c>
      <c r="G38" s="71"/>
      <c r="I38" t="s">
        <v>104</v>
      </c>
      <c r="K38" s="76">
        <v>-12</v>
      </c>
      <c r="L38" s="76">
        <v>-37</v>
      </c>
      <c r="M38" s="35">
        <v>26</v>
      </c>
      <c r="N38" s="35"/>
      <c r="Q38" s="76"/>
      <c r="T38" s="76"/>
    </row>
    <row r="40" spans="1:20" x14ac:dyDescent="0.25">
      <c r="A40" s="67" t="s">
        <v>105</v>
      </c>
      <c r="B40" s="67"/>
      <c r="C40" s="67"/>
      <c r="D40" s="70">
        <v>411</v>
      </c>
      <c r="E40" s="70">
        <v>139</v>
      </c>
      <c r="F40" s="70">
        <v>510</v>
      </c>
      <c r="G40" s="70"/>
      <c r="I40" t="s">
        <v>122</v>
      </c>
      <c r="K40" s="35">
        <v>953</v>
      </c>
      <c r="L40" s="35">
        <v>1371</v>
      </c>
      <c r="M40" s="35">
        <v>692</v>
      </c>
      <c r="N40" s="35"/>
      <c r="Q40" s="35"/>
      <c r="T40" s="35"/>
    </row>
    <row r="41" spans="1:20" x14ac:dyDescent="0.25">
      <c r="A41" s="67" t="s">
        <v>106</v>
      </c>
      <c r="B41" s="67"/>
      <c r="C41" s="67"/>
      <c r="D41" s="70">
        <v>7279</v>
      </c>
      <c r="E41" s="70">
        <v>7690</v>
      </c>
      <c r="F41" s="70">
        <v>7829</v>
      </c>
      <c r="G41" s="70"/>
      <c r="I41" t="s">
        <v>106</v>
      </c>
      <c r="K41" s="35">
        <v>4263</v>
      </c>
      <c r="L41" s="35">
        <v>5216</v>
      </c>
      <c r="M41" s="35">
        <v>6587</v>
      </c>
      <c r="N41" s="35"/>
      <c r="Q41" s="35"/>
      <c r="T41" s="35"/>
    </row>
    <row r="42" spans="1:20" x14ac:dyDescent="0.25">
      <c r="A42" s="67" t="s">
        <v>107</v>
      </c>
      <c r="B42" s="67"/>
      <c r="C42" s="67"/>
      <c r="D42" s="69">
        <v>7690</v>
      </c>
      <c r="E42" s="69">
        <v>7829</v>
      </c>
      <c r="F42" s="69">
        <v>8339</v>
      </c>
      <c r="G42" s="69"/>
      <c r="I42" t="s">
        <v>107</v>
      </c>
      <c r="K42" s="75">
        <v>5216</v>
      </c>
      <c r="L42" s="75">
        <v>6587</v>
      </c>
      <c r="M42" s="75">
        <v>7279</v>
      </c>
      <c r="N42" s="75"/>
      <c r="Q42" s="75"/>
      <c r="T42" s="75"/>
    </row>
    <row r="44" spans="1:20" x14ac:dyDescent="0.25">
      <c r="A44" s="67" t="s">
        <v>108</v>
      </c>
      <c r="B44" s="67"/>
      <c r="C44" s="67"/>
      <c r="E44" s="67"/>
      <c r="F44" s="67"/>
      <c r="G44" s="67"/>
      <c r="I44" s="67" t="s">
        <v>108</v>
      </c>
    </row>
    <row r="45" spans="1:20" x14ac:dyDescent="0.25">
      <c r="A45" s="67" t="s">
        <v>109</v>
      </c>
      <c r="B45" s="67"/>
      <c r="C45" s="67"/>
      <c r="D45" s="74">
        <v>-167</v>
      </c>
      <c r="E45" s="74">
        <v>-361</v>
      </c>
      <c r="F45" s="74">
        <v>-493</v>
      </c>
      <c r="G45" s="74"/>
      <c r="I45" t="s">
        <v>109</v>
      </c>
      <c r="K45" s="79">
        <v>-99</v>
      </c>
      <c r="L45" s="79">
        <v>-226</v>
      </c>
      <c r="M45" s="79">
        <v>-524</v>
      </c>
      <c r="N45" s="79"/>
      <c r="Q45" s="79"/>
      <c r="T45" s="79"/>
    </row>
    <row r="46" spans="1:20" x14ac:dyDescent="0.25">
      <c r="A46" s="67" t="s">
        <v>110</v>
      </c>
      <c r="B46" s="67"/>
      <c r="C46" s="67"/>
      <c r="D46" s="71">
        <v>-165</v>
      </c>
      <c r="E46" s="71">
        <v>-171</v>
      </c>
      <c r="F46" s="71">
        <v>-154</v>
      </c>
      <c r="G46" s="71"/>
      <c r="I46" t="s">
        <v>110</v>
      </c>
      <c r="K46" s="76">
        <v>-468</v>
      </c>
      <c r="L46" s="76">
        <v>-312</v>
      </c>
      <c r="M46" s="76">
        <v>-53</v>
      </c>
      <c r="N46" s="76"/>
      <c r="Q46" s="76"/>
      <c r="T46" s="76"/>
    </row>
    <row r="47" spans="1:20" x14ac:dyDescent="0.25">
      <c r="A47" s="67" t="s">
        <v>111</v>
      </c>
      <c r="B47" s="67"/>
      <c r="C47" s="67"/>
      <c r="D47" s="70">
        <v>171</v>
      </c>
      <c r="E47" s="70">
        <v>289</v>
      </c>
      <c r="F47" s="70">
        <v>157</v>
      </c>
      <c r="G47" s="70"/>
      <c r="I47" t="s">
        <v>123</v>
      </c>
    </row>
    <row r="48" spans="1:20" x14ac:dyDescent="0.25">
      <c r="I48" t="s">
        <v>124</v>
      </c>
      <c r="K48" s="35">
        <v>813</v>
      </c>
      <c r="L48" s="35">
        <v>84</v>
      </c>
      <c r="M48" s="35">
        <v>119</v>
      </c>
      <c r="N48" s="35"/>
      <c r="Q48" s="35"/>
      <c r="T48" s="35"/>
    </row>
  </sheetData>
  <sortState xmlns:xlrd2="http://schemas.microsoft.com/office/spreadsheetml/2017/richdata2" columnSort="1" ref="K1:T48">
    <sortCondition ref="K1: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 DCF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2023-07-19T16:59:30Z</dcterms:modified>
</cp:coreProperties>
</file>