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13_ncr:1_{9C579E86-5299-4845-A6CE-6E2FB7BEB0EE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JOUT DCF" sheetId="1" r:id="rId1"/>
    <sheet name="Sheet1" sheetId="3" r:id="rId2"/>
    <sheet name="Sheet2" sheetId="4" r:id="rId3"/>
    <sheet name="WACC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C60" i="1"/>
  <c r="N51" i="1"/>
  <c r="O51" i="1"/>
  <c r="P51" i="1" s="1"/>
  <c r="Q51" i="1" s="1"/>
  <c r="R51" i="1" s="1"/>
  <c r="M51" i="1"/>
  <c r="I51" i="1"/>
  <c r="J51" i="1"/>
  <c r="K51" i="1"/>
  <c r="D67" i="1"/>
  <c r="D66" i="1"/>
  <c r="D69" i="1"/>
  <c r="J25" i="1"/>
  <c r="K25" i="1"/>
  <c r="I25" i="1"/>
  <c r="J22" i="1"/>
  <c r="K22" i="1"/>
  <c r="I22" i="1"/>
  <c r="J19" i="1"/>
  <c r="K19" i="1"/>
  <c r="I19" i="1"/>
  <c r="I12" i="1"/>
  <c r="G35" i="1"/>
  <c r="H35" i="1"/>
  <c r="F35" i="1"/>
  <c r="D35" i="1"/>
  <c r="E35" i="1"/>
  <c r="C35" i="1"/>
  <c r="K20" i="3"/>
  <c r="C38" i="1"/>
  <c r="G53" i="1"/>
  <c r="H53" i="1"/>
  <c r="F53" i="1"/>
  <c r="D53" i="1"/>
  <c r="E53" i="1"/>
  <c r="C53" i="1"/>
  <c r="G50" i="1"/>
  <c r="H50" i="1"/>
  <c r="F50" i="1"/>
  <c r="D50" i="1"/>
  <c r="E50" i="1"/>
  <c r="C50" i="1"/>
  <c r="G47" i="1"/>
  <c r="H47" i="1"/>
  <c r="F47" i="1"/>
  <c r="E47" i="1"/>
  <c r="D47" i="1"/>
  <c r="C47" i="1"/>
  <c r="G43" i="1"/>
  <c r="H43" i="1"/>
  <c r="F43" i="1"/>
  <c r="D43" i="1"/>
  <c r="E43" i="1"/>
  <c r="C43" i="1"/>
  <c r="F36" i="1"/>
  <c r="C31" i="1"/>
  <c r="G25" i="1"/>
  <c r="H25" i="1"/>
  <c r="F25" i="1"/>
  <c r="D25" i="1"/>
  <c r="E25" i="1"/>
  <c r="C25" i="1"/>
  <c r="G22" i="1"/>
  <c r="H22" i="1"/>
  <c r="F22" i="1"/>
  <c r="D22" i="1"/>
  <c r="E22" i="1"/>
  <c r="E31" i="1" s="1"/>
  <c r="C22" i="1"/>
  <c r="G19" i="1"/>
  <c r="H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D6" i="2"/>
  <c r="G31" i="1"/>
  <c r="H31" i="1"/>
  <c r="F31" i="1"/>
  <c r="D31" i="1"/>
  <c r="G36" i="1"/>
  <c r="C36" i="1" l="1"/>
  <c r="D36" i="1"/>
  <c r="I47" i="1"/>
  <c r="I35" i="1"/>
  <c r="H36" i="1"/>
  <c r="E36" i="1"/>
  <c r="L67" i="1"/>
  <c r="L66" i="1" s="1"/>
  <c r="L69" i="1"/>
  <c r="L70" i="1" s="1"/>
  <c r="H20" i="1"/>
  <c r="H12" i="1"/>
  <c r="C32" i="1"/>
  <c r="G12" i="2"/>
  <c r="D70" i="1"/>
  <c r="C12" i="2" s="1"/>
  <c r="G29" i="1" l="1"/>
  <c r="F29" i="1"/>
  <c r="E29" i="1"/>
  <c r="D29" i="1"/>
  <c r="C29" i="1"/>
  <c r="H29" i="1"/>
  <c r="F26" i="1"/>
  <c r="D26" i="1"/>
  <c r="H26" i="1"/>
  <c r="G23" i="1"/>
  <c r="F23" i="1"/>
  <c r="E23" i="1"/>
  <c r="D23" i="1"/>
  <c r="C23" i="1"/>
  <c r="H23" i="1"/>
  <c r="G20" i="1"/>
  <c r="F20" i="1"/>
  <c r="E20" i="1"/>
  <c r="D20" i="1"/>
  <c r="C20" i="1"/>
  <c r="C14" i="2"/>
  <c r="E51" i="1"/>
  <c r="D51" i="1"/>
  <c r="C51" i="1"/>
  <c r="F51" i="1"/>
  <c r="G51" i="1"/>
  <c r="H51" i="1"/>
  <c r="G48" i="1"/>
  <c r="H48" i="1"/>
  <c r="E48" i="1"/>
  <c r="C48" i="1"/>
  <c r="E32" i="1"/>
  <c r="G32" i="1"/>
  <c r="G26" i="1"/>
  <c r="D54" i="1"/>
  <c r="C54" i="1"/>
  <c r="D48" i="1"/>
  <c r="E26" i="1"/>
  <c r="C26" i="1"/>
  <c r="D16" i="1"/>
  <c r="D34" i="1" s="1"/>
  <c r="D38" i="1" s="1"/>
  <c r="D58" i="1" s="1"/>
  <c r="E16" i="1"/>
  <c r="E34" i="1" s="1"/>
  <c r="E38" i="1" s="1"/>
  <c r="E58" i="1" s="1"/>
  <c r="C16" i="1"/>
  <c r="C34" i="1" s="1"/>
  <c r="F54" i="1"/>
  <c r="G54" i="1"/>
  <c r="H54" i="1"/>
  <c r="F48" i="1"/>
  <c r="F16" i="1"/>
  <c r="F34" i="1" s="1"/>
  <c r="F38" i="1" s="1"/>
  <c r="F58" i="1" s="1"/>
  <c r="G16" i="1"/>
  <c r="G34" i="1" s="1"/>
  <c r="G38" i="1" s="1"/>
  <c r="G58" i="1" s="1"/>
  <c r="H16" i="1"/>
  <c r="H34" i="1" s="1"/>
  <c r="H38" i="1" s="1"/>
  <c r="H58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C40" i="1" l="1"/>
  <c r="C56" i="1" s="1"/>
  <c r="C58" i="1"/>
  <c r="E40" i="1"/>
  <c r="E56" i="1" s="1"/>
  <c r="F17" i="1"/>
  <c r="D17" i="1"/>
  <c r="I28" i="1"/>
  <c r="I32" i="1" s="1"/>
  <c r="H17" i="1"/>
  <c r="I53" i="1"/>
  <c r="E54" i="1"/>
  <c r="K12" i="2"/>
  <c r="I16" i="1"/>
  <c r="G17" i="1"/>
  <c r="C17" i="1"/>
  <c r="E17" i="1"/>
  <c r="H32" i="1"/>
  <c r="F32" i="1"/>
  <c r="D32" i="1"/>
  <c r="E44" i="1" l="1"/>
  <c r="G40" i="1"/>
  <c r="G56" i="1" s="1"/>
  <c r="I14" i="1"/>
  <c r="C13" i="2"/>
  <c r="G13" i="2"/>
  <c r="D40" i="1"/>
  <c r="D56" i="1" s="1"/>
  <c r="F40" i="1"/>
  <c r="F56" i="1" s="1"/>
  <c r="H40" i="1"/>
  <c r="H56" i="1" l="1"/>
  <c r="H60" i="1" s="1"/>
  <c r="F44" i="1"/>
  <c r="H44" i="1"/>
  <c r="C44" i="1"/>
  <c r="G44" i="1"/>
  <c r="D60" i="1"/>
  <c r="D44" i="1"/>
  <c r="G41" i="1"/>
  <c r="F60" i="1"/>
  <c r="E60" i="1"/>
  <c r="E41" i="1"/>
  <c r="C41" i="1"/>
  <c r="K14" i="2"/>
  <c r="E5" i="1" s="1"/>
  <c r="D41" i="1"/>
  <c r="H41" i="1"/>
  <c r="F41" i="1"/>
  <c r="I34" i="1" l="1"/>
  <c r="I43" i="1" l="1"/>
  <c r="I56" i="1" s="1"/>
  <c r="I38" i="1"/>
  <c r="I58" i="1" l="1"/>
  <c r="I60" i="1" l="1"/>
  <c r="I61" i="1" l="1"/>
  <c r="J47" i="1" l="1"/>
  <c r="J28" i="1"/>
  <c r="J53" i="1"/>
  <c r="J35" i="1"/>
  <c r="J16" i="1"/>
  <c r="J14" i="1" s="1"/>
  <c r="J12" i="1"/>
  <c r="J34" i="1" l="1"/>
  <c r="J32" i="1" l="1"/>
  <c r="J38" i="1"/>
  <c r="J43" i="1"/>
  <c r="J56" i="1" s="1"/>
  <c r="J60" i="1" s="1"/>
  <c r="K16" i="1"/>
  <c r="K14" i="1" s="1"/>
  <c r="K35" i="1"/>
  <c r="K28" i="1"/>
  <c r="K53" i="1"/>
  <c r="K47" i="1"/>
  <c r="K32" i="1"/>
  <c r="K12" i="1"/>
  <c r="L11" i="1"/>
  <c r="J61" i="1" l="1"/>
  <c r="L25" i="1"/>
  <c r="L22" i="1"/>
  <c r="L19" i="1"/>
  <c r="J58" i="1"/>
  <c r="L47" i="1"/>
  <c r="L28" i="1"/>
  <c r="L53" i="1"/>
  <c r="L16" i="1"/>
  <c r="L14" i="1" s="1"/>
  <c r="L35" i="1"/>
  <c r="M11" i="1"/>
  <c r="L50" i="1"/>
  <c r="K38" i="1"/>
  <c r="K34" i="1"/>
  <c r="M25" i="1" l="1"/>
  <c r="M22" i="1"/>
  <c r="M19" i="1"/>
  <c r="K43" i="1"/>
  <c r="K56" i="1" s="1"/>
  <c r="K60" i="1" s="1"/>
  <c r="M50" i="1"/>
  <c r="M53" i="1"/>
  <c r="M28" i="1"/>
  <c r="M35" i="1"/>
  <c r="M47" i="1"/>
  <c r="M16" i="1"/>
  <c r="N11" i="1"/>
  <c r="L34" i="1"/>
  <c r="K58" i="1"/>
  <c r="L32" i="1"/>
  <c r="K61" i="1" l="1"/>
  <c r="N25" i="1"/>
  <c r="N22" i="1"/>
  <c r="N19" i="1"/>
  <c r="L38" i="1"/>
  <c r="N47" i="1"/>
  <c r="N50" i="1"/>
  <c r="N28" i="1"/>
  <c r="N53" i="1"/>
  <c r="N35" i="1"/>
  <c r="N16" i="1"/>
  <c r="O11" i="1"/>
  <c r="M34" i="1"/>
  <c r="L43" i="1"/>
  <c r="L56" i="1" s="1"/>
  <c r="L60" i="1" s="1"/>
  <c r="M32" i="1"/>
  <c r="M14" i="1"/>
  <c r="L61" i="1" l="1"/>
  <c r="O25" i="1"/>
  <c r="O22" i="1"/>
  <c r="O19" i="1"/>
  <c r="M43" i="1"/>
  <c r="M56" i="1" s="1"/>
  <c r="M60" i="1" s="1"/>
  <c r="N32" i="1"/>
  <c r="N34" i="1"/>
  <c r="M38" i="1"/>
  <c r="P11" i="1"/>
  <c r="O28" i="1"/>
  <c r="O35" i="1"/>
  <c r="O47" i="1"/>
  <c r="O53" i="1"/>
  <c r="O16" i="1"/>
  <c r="O14" i="1" s="1"/>
  <c r="O50" i="1"/>
  <c r="O32" i="1"/>
  <c r="N14" i="1"/>
  <c r="L58" i="1"/>
  <c r="M61" i="1" l="1"/>
  <c r="P25" i="1"/>
  <c r="P22" i="1"/>
  <c r="P19" i="1"/>
  <c r="P53" i="1"/>
  <c r="P47" i="1"/>
  <c r="P35" i="1"/>
  <c r="P50" i="1"/>
  <c r="P28" i="1"/>
  <c r="P16" i="1"/>
  <c r="P14" i="1" s="1"/>
  <c r="Q11" i="1"/>
  <c r="N43" i="1"/>
  <c r="N56" i="1" s="1"/>
  <c r="N60" i="1" s="1"/>
  <c r="O38" i="1"/>
  <c r="O34" i="1"/>
  <c r="M58" i="1"/>
  <c r="N38" i="1"/>
  <c r="N61" i="1" l="1"/>
  <c r="Q25" i="1"/>
  <c r="Q22" i="1"/>
  <c r="Q19" i="1"/>
  <c r="Q28" i="1"/>
  <c r="Q53" i="1"/>
  <c r="Q35" i="1"/>
  <c r="Q50" i="1"/>
  <c r="R11" i="1"/>
  <c r="Q47" i="1"/>
  <c r="Q16" i="1"/>
  <c r="P32" i="1"/>
  <c r="N58" i="1"/>
  <c r="O43" i="1"/>
  <c r="O56" i="1" s="1"/>
  <c r="O60" i="1" s="1"/>
  <c r="P34" i="1"/>
  <c r="P38" i="1"/>
  <c r="O61" i="1" l="1"/>
  <c r="R25" i="1"/>
  <c r="R22" i="1"/>
  <c r="R19" i="1"/>
  <c r="R47" i="1"/>
  <c r="R28" i="1"/>
  <c r="R35" i="1"/>
  <c r="R50" i="1"/>
  <c r="R16" i="1"/>
  <c r="R53" i="1"/>
  <c r="O58" i="1"/>
  <c r="P43" i="1"/>
  <c r="P58" i="1" s="1"/>
  <c r="Q34" i="1"/>
  <c r="Q14" i="1"/>
  <c r="Q32" i="1"/>
  <c r="Q38" i="1" l="1"/>
  <c r="R32" i="1"/>
  <c r="Q43" i="1"/>
  <c r="Q58" i="1" s="1"/>
  <c r="P56" i="1"/>
  <c r="P60" i="1" s="1"/>
  <c r="R34" i="1"/>
  <c r="R14" i="1"/>
  <c r="P61" i="1" l="1"/>
  <c r="R43" i="1"/>
  <c r="R56" i="1" s="1"/>
  <c r="R60" i="1" s="1"/>
  <c r="R38" i="1"/>
  <c r="Q56" i="1"/>
  <c r="Q60" i="1" s="1"/>
  <c r="Q61" i="1" l="1"/>
  <c r="R58" i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F63" i="1" s="1"/>
  <c r="H66" i="1" s="1"/>
  <c r="H68" i="1" s="1"/>
  <c r="H71" i="1" s="1"/>
  <c r="R61" i="1"/>
  <c r="C63" i="1"/>
  <c r="C64" i="1" s="1"/>
  <c r="G66" i="1" l="1"/>
  <c r="G68" i="1" s="1"/>
  <c r="G71" i="1" s="1"/>
  <c r="D71" i="1" s="1"/>
  <c r="L65" i="1" l="1"/>
  <c r="J6" i="1"/>
  <c r="N5" i="1" s="1"/>
</calcChain>
</file>

<file path=xl/sharedStrings.xml><?xml version="1.0" encoding="utf-8"?>
<sst xmlns="http://schemas.openxmlformats.org/spreadsheetml/2006/main" count="211" uniqueCount="123">
  <si>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</si>
  <si>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</si>
  <si>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</si>
  <si>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</si>
  <si>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</si>
  <si>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</si>
  <si>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</si>
  <si>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</si>
  <si>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</si>
  <si>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</si>
  <si>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</si>
  <si>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</si>
  <si>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</si>
  <si>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</si>
  <si>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</si>
  <si>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</si>
  <si>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</si>
  <si>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</si>
  <si>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</si>
  <si>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</si>
  <si>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</si>
  <si>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</si>
  <si>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</si>
  <si>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</si>
  <si>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</si>
  <si>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</si>
  <si>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</si>
  <si>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</si>
  <si>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</si>
  <si>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</si>
  <si>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</si>
  <si>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</si>
  <si>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</si>
  <si>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</si>
  <si>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</si>
  <si>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</si>
  <si>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</si>
  <si>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</si>
  <si>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</si>
  <si>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</si>
  <si>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</si>
  <si>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</si>
  <si>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</si>
  <si>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</si>
  <si>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</si>
  <si>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</si>
  <si>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</si>
  <si>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</si>
  <si>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</si>
  <si>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</si>
  <si>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</si>
  <si>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</si>
  <si>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</si>
  <si>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</si>
  <si>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</si>
  <si>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</si>
  <si>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</si>
  <si>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—</t>
  </si>
  <si>
    <t>Other</t>
  </si>
  <si>
    <t>Gross profit</t>
  </si>
  <si>
    <t>Operating expenses:</t>
  </si>
  <si>
    <t>Research and development</t>
  </si>
  <si>
    <t>Total operating expenses</t>
  </si>
  <si>
    <t>Adjustments to reconcile net income to net cash provided by operating activities:</t>
  </si>
  <si>
    <t>Deferred income taxes</t>
  </si>
  <si>
    <t>(thousands, except per share data)</t>
  </si>
  <si>
    <t>Net sales</t>
  </si>
  <si>
    <t>Cost of sales</t>
  </si>
  <si>
    <t>Marketing and selling</t>
  </si>
  <si>
    <t>Administrative management, finance and information systems</t>
  </si>
  <si>
    <t>Operating profit</t>
  </si>
  <si>
    <t>Interest income</t>
  </si>
  <si>
    <t>Interest expense</t>
  </si>
  <si>
    <t>Other expense (income), net</t>
  </si>
  <si>
    <t>Profit before income taxes</t>
  </si>
  <si>
    <t>Income tax expense</t>
  </si>
  <si>
    <t>(thousands)</t>
  </si>
  <si>
    <t>CASH (USED FOR) PROVIDED BY OPERATING ACTIVITIES</t>
  </si>
  <si>
    <t>Depreciation</t>
  </si>
  <si>
    <t>Amortization of intangible assets</t>
  </si>
  <si>
    <t>Amortization of deferred financing costs</t>
  </si>
  <si>
    <t>Loss (gain) on sale of productive assets</t>
  </si>
  <si>
    <t>Stock based compensation</t>
  </si>
  <si>
    <t>Provision for doubtful accounts receivable</t>
  </si>
  <si>
    <t>Provision for inventory reserves</t>
  </si>
  <si>
    <t>Pension contributions</t>
  </si>
  <si>
    <t>Change in operating assets and liabilities:</t>
  </si>
  <si>
    <t>Accounts receivable, net</t>
  </si>
  <si>
    <t>Inventories, net</t>
  </si>
  <si>
    <t>Accounts payable and accrued liabilities</t>
  </si>
  <si>
    <t>Other current assets</t>
  </si>
  <si>
    <t>Other non-current assets</t>
  </si>
  <si>
    <t>Other long-term liabilities</t>
  </si>
  <si>
    <t>Other, net</t>
  </si>
  <si>
    <t>CASH USED FOR INVESTING ACTIVITIES</t>
  </si>
  <si>
    <t>Capital expenditures</t>
  </si>
  <si>
    <t>Proceeds from sale of productive assets</t>
  </si>
  <si>
    <t>CASH USED FOR FINANCING ACTIVITIES</t>
  </si>
  <si>
    <t>Debt issuance costs paid</t>
  </si>
  <si>
    <t>Common stock transactions</t>
  </si>
  <si>
    <t>Dividends paid</t>
  </si>
  <si>
    <t>Purchases of treasury stock</t>
  </si>
  <si>
    <t>Effect of foreign currency rate changes on cash</t>
  </si>
  <si>
    <t>(Decrease) increase in cash and cash equivalents</t>
  </si>
  <si>
    <t>CASH AND CASH EQUIVALENTS</t>
  </si>
  <si>
    <t>Beginning of period</t>
  </si>
  <si>
    <t>End of period</t>
  </si>
  <si>
    <t>Supplemental Disclosure:</t>
  </si>
  <si>
    <t>Non-cash dividends</t>
  </si>
  <si>
    <t>Cash paid for taxes</t>
  </si>
  <si>
    <t>Cash paid for interest</t>
  </si>
  <si>
    <t>Year Ended</t>
  </si>
  <si>
    <t>Other income, net</t>
  </si>
  <si>
    <t>CASH PROVIDED BY OPERATING ACTIVITIES</t>
  </si>
  <si>
    <t>Gain on sale of productive assets</t>
  </si>
  <si>
    <t>Write off of currency translation adjustment (gain) loss</t>
  </si>
  <si>
    <t>CASH PROVIDED BY (USED FOR) INVESTING ACTIVITIES</t>
  </si>
  <si>
    <t>Purchase of short-term investments</t>
  </si>
  <si>
    <t>Proceeds from sales of short-term investments</t>
  </si>
  <si>
    <t>Principal payments on term loans and other long-term debt</t>
  </si>
  <si>
    <t>Increase (decrease) in cash and cash equivalents</t>
  </si>
  <si>
    <t>Non-cash treasury activity</t>
  </si>
  <si>
    <t>Johnson Outdoors Inc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</si>
</sst>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%"/>
    <numFmt numFmtId="167" formatCode="_(\$* #,##0_);_(\$* \(#,##0\);_(\$* \-_);_(@_)"/>
    <numFmt numFmtId="168" formatCode="\(#,##0_);[Red]\(#,##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9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0" fontId="10" fillId="0" borderId="0" xfId="0" applyFont="1"/>
    <xf numFmtId="168" fontId="0" fillId="0" borderId="0" xfId="0" applyNumberFormat="1"/>
    <xf numFmtId="167" fontId="10" fillId="0" borderId="0" xfId="0" applyNumberFormat="1" applyFont="1"/>
    <xf numFmtId="3" fontId="10" fillId="0" borderId="0" xfId="0" applyNumberFormat="1" applyFont="1"/>
    <xf numFmtId="168" fontId="10" fillId="0" borderId="0" xfId="0" applyNumberFormat="1" applyFont="1"/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7" fillId="5" borderId="0" xfId="0" applyFont="1" applyFill="1"/>
    <xf numFmtId="164" fontId="7" fillId="5" borderId="0" xfId="1" applyNumberFormat="1" applyFont="1" applyFill="1"/>
    <xf numFmtId="0" fontId="11" fillId="5" borderId="0" xfId="0" applyFont="1" applyFill="1"/>
    <xf numFmtId="164" fontId="11" fillId="5" borderId="0" xfId="1" applyNumberFormat="1" applyFont="1" applyFill="1"/>
    <xf numFmtId="164" fontId="11" fillId="5" borderId="4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0" fontId="2" fillId="4" borderId="0" xfId="0" applyFont="1" applyFill="1"/>
    <xf numFmtId="1" fontId="0" fillId="2" borderId="4" xfId="0" applyNumberFormat="1" applyFill="1" applyBorder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164" fontId="11" fillId="2" borderId="4" xfId="1" applyNumberFormat="1" applyFont="1" applyFill="1" applyBorder="1"/>
    <xf numFmtId="164" fontId="11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1" fillId="5" borderId="4" xfId="0" applyNumberFormat="1" applyFont="1" applyFill="1" applyBorder="1"/>
    <xf numFmtId="0" fontId="2" fillId="3" borderId="4" xfId="0" applyFont="1" applyFill="1" applyBorder="1"/>
    <xf numFmtId="164" fontId="0" fillId="5" borderId="4" xfId="0" applyNumberFormat="1" applyFill="1" applyBorder="1"/>
    <xf numFmtId="0" fontId="10" fillId="0" borderId="0" xfId="0" applyFont="1" applyAlignment="1">
      <alignment wrapText="1"/>
    </xf>
    <xf numFmtId="0" fontId="10" fillId="0" borderId="0" xfId="0" applyFont="1" applyAlignment="1"/>
    <xf numFmtId="167" fontId="10" fillId="0" borderId="0" xfId="0" applyNumberFormat="1" applyFont="1" applyAlignment="1"/>
    <xf numFmtId="0" fontId="0" fillId="0" borderId="0" xfId="0" applyAlignment="1"/>
    <xf numFmtId="3" fontId="10" fillId="0" borderId="0" xfId="0" applyNumberFormat="1" applyFont="1" applyAlignment="1"/>
    <xf numFmtId="168" fontId="10" fillId="0" borderId="0" xfId="0" applyNumberFormat="1" applyFont="1" applyAlignment="1"/>
    <xf numFmtId="0" fontId="12" fillId="0" borderId="0" xfId="0" applyFont="1" applyAlignment="1"/>
    <xf numFmtId="0" fontId="0" fillId="0" borderId="0" xfId="0" applyAlignment="1">
      <alignment wrapText="1"/>
    </xf>
    <xf numFmtId="167" fontId="0" fillId="0" borderId="0" xfId="0" applyNumberFormat="1" applyAlignment="1"/>
    <xf numFmtId="3" fontId="0" fillId="0" borderId="0" xfId="0" applyNumberFormat="1" applyAlignment="1"/>
    <xf numFmtId="168" fontId="0" fillId="0" borderId="0" xfId="0" applyNumberFormat="1" applyAlignment="1"/>
    <xf numFmtId="1" fontId="0" fillId="2" borderId="0" xfId="0" applyNumberFormat="1" applyFill="1" applyBorder="1"/>
    <xf numFmtId="164" fontId="7" fillId="5" borderId="0" xfId="1" applyNumberFormat="1" applyFont="1" applyFill="1" applyBorder="1"/>
    <xf numFmtId="0" fontId="0" fillId="2" borderId="0" xfId="0" applyFill="1" applyBorder="1"/>
    <xf numFmtId="164" fontId="11" fillId="5" borderId="0" xfId="0" applyNumberFormat="1" applyFont="1" applyFill="1" applyBorder="1"/>
    <xf numFmtId="3" fontId="0" fillId="2" borderId="0" xfId="0" applyNumberFormat="1" applyFill="1" applyBorder="1"/>
    <xf numFmtId="10" fontId="11" fillId="5" borderId="0" xfId="0" applyNumberFormat="1" applyFont="1" applyFill="1" applyBorder="1"/>
    <xf numFmtId="0" fontId="2" fillId="3" borderId="0" xfId="0" applyFont="1" applyFill="1" applyBorder="1"/>
    <xf numFmtId="164" fontId="0" fillId="5" borderId="0" xfId="0" applyNumberFormat="1" applyFill="1" applyBorder="1"/>
    <xf numFmtId="164" fontId="7" fillId="5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topLeftCell="A23" workbookViewId="0">
      <selection activeCell="H9" sqref="H9"/>
    </sheetView>
  </sheetViews>
  <sheetFormatPr defaultRowHeight="15" x14ac:dyDescent="0.25"/>
  <cols>
    <col min="1" max="1" width="7.7109375" style="2" customWidth="1"/>
    <col min="2" max="2" width="17.140625" style="2" customWidth="1"/>
    <col min="3" max="3" width="9.140625" style="2"/>
    <col min="4" max="4" width="10.140625" style="2" bestFit="1" customWidth="1"/>
    <col min="5" max="6" width="9.140625" style="2"/>
    <col min="7" max="8" width="10.28515625" style="2" customWidth="1"/>
    <col min="9" max="13" width="9.140625" style="2"/>
    <col min="14" max="14" width="10.7109375" style="2" bestFit="1" customWidth="1"/>
    <col min="15" max="15" width="9.140625" style="2"/>
    <col min="16" max="16" width="10.7109375" style="2" customWidth="1"/>
    <col min="17" max="18" width="9.140625" style="2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8.3674066758287841E-2</v>
      </c>
      <c r="G5" s="1"/>
      <c r="H5" s="1" t="s">
        <v>2</v>
      </c>
      <c r="I5" s="1"/>
      <c r="J5" s="7">
        <v>56.33</v>
      </c>
      <c r="K5" s="1"/>
      <c r="L5" s="1" t="s">
        <v>3</v>
      </c>
      <c r="M5" s="1"/>
      <c r="N5" s="62">
        <f>(J6/J5)-1</f>
        <v>0.85970901015909007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0.02</v>
      </c>
      <c r="G6" s="1"/>
      <c r="H6" s="1" t="s">
        <v>5</v>
      </c>
      <c r="I6" s="1"/>
      <c r="J6" s="64">
        <f>D71</f>
        <v>104.75740854226154</v>
      </c>
      <c r="K6" s="1"/>
      <c r="L6" s="1" t="s">
        <v>53</v>
      </c>
      <c r="M6" s="1"/>
      <c r="N6" s="61">
        <v>45062</v>
      </c>
      <c r="O6" s="1"/>
      <c r="P6" s="1"/>
      <c r="Q6" s="1"/>
    </row>
    <row r="7" spans="1:86" x14ac:dyDescent="0.25">
      <c r="B7" s="61"/>
      <c r="C7" s="1"/>
      <c r="D7" s="1"/>
      <c r="E7" s="9"/>
      <c r="F7" s="1"/>
      <c r="G7" s="1"/>
      <c r="H7" s="1"/>
      <c r="I7" s="1"/>
      <c r="J7" s="1"/>
      <c r="K7" s="1"/>
      <c r="L7" s="53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8">
        <v>2023</v>
      </c>
      <c r="J10" s="79">
        <v>2024</v>
      </c>
      <c r="K10" s="79">
        <v>2025</v>
      </c>
      <c r="L10" s="79">
        <v>2026</v>
      </c>
      <c r="M10" s="79">
        <v>2027</v>
      </c>
      <c r="N10" s="79">
        <v>2028</v>
      </c>
      <c r="O10" s="79">
        <v>2029</v>
      </c>
      <c r="P10" s="79">
        <v>2030</v>
      </c>
      <c r="Q10" s="79">
        <v>2031</v>
      </c>
      <c r="R10" s="79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Sheet1!K3</f>
        <v>490565</v>
      </c>
      <c r="D11" s="12">
        <f>Sheet1!L3</f>
        <v>544268</v>
      </c>
      <c r="E11" s="12">
        <f>Sheet1!M3</f>
        <v>562419</v>
      </c>
      <c r="F11" s="12">
        <f>Sheet1!D2</f>
        <v>594209</v>
      </c>
      <c r="G11" s="12">
        <f>Sheet1!E2</f>
        <v>751651</v>
      </c>
      <c r="H11" s="12">
        <f>Sheet1!F2</f>
        <v>743355</v>
      </c>
      <c r="I11" s="80">
        <v>732640</v>
      </c>
      <c r="J11" s="105">
        <v>752320</v>
      </c>
      <c r="K11" s="105">
        <v>779000</v>
      </c>
      <c r="L11" s="105">
        <f t="shared" ref="J11:R11" si="1">K11*(1+L12)</f>
        <v>794580</v>
      </c>
      <c r="M11" s="105">
        <f t="shared" si="1"/>
        <v>810471.6</v>
      </c>
      <c r="N11" s="105">
        <f t="shared" si="1"/>
        <v>826681.03200000001</v>
      </c>
      <c r="O11" s="105">
        <f t="shared" si="1"/>
        <v>843214.65263999999</v>
      </c>
      <c r="P11" s="105">
        <f t="shared" si="1"/>
        <v>860078.94569279999</v>
      </c>
      <c r="Q11" s="105">
        <f t="shared" si="1"/>
        <v>877280.52460665605</v>
      </c>
      <c r="R11" s="105">
        <f t="shared" si="1"/>
        <v>894826.13509878924</v>
      </c>
    </row>
    <row r="12" spans="1:86" x14ac:dyDescent="0.25">
      <c r="A12" s="1"/>
      <c r="B12" s="72" t="s">
        <v>8</v>
      </c>
      <c r="C12" s="73"/>
      <c r="D12" s="73">
        <f>(D11/C11)-1</f>
        <v>0.10947173157481682</v>
      </c>
      <c r="E12" s="73">
        <f>(E11/D11)-1</f>
        <v>3.3349379349879138E-2</v>
      </c>
      <c r="F12" s="73">
        <f>(F11/E11)-1</f>
        <v>5.6523694967630878E-2</v>
      </c>
      <c r="G12" s="73">
        <f>(G11/F11)-1</f>
        <v>0.26496064516020468</v>
      </c>
      <c r="H12" s="73">
        <f>(H11/G11)-1</f>
        <v>-1.103703713558557E-2</v>
      </c>
      <c r="I12" s="113">
        <f t="shared" ref="I12:K12" si="2">(I11/H11)-1</f>
        <v>-1.4414378056245014E-2</v>
      </c>
      <c r="J12" s="106">
        <f t="shared" si="2"/>
        <v>2.6861760209652807E-2</v>
      </c>
      <c r="K12" s="106">
        <f t="shared" si="2"/>
        <v>3.5463632496809838E-2</v>
      </c>
      <c r="L12" s="82">
        <v>0.02</v>
      </c>
      <c r="M12" s="82">
        <v>0.02</v>
      </c>
      <c r="N12" s="82">
        <v>0.02</v>
      </c>
      <c r="O12" s="82">
        <v>0.02</v>
      </c>
      <c r="P12" s="82">
        <v>0.02</v>
      </c>
      <c r="Q12" s="82">
        <v>0.02</v>
      </c>
      <c r="R12" s="82">
        <v>0.02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83"/>
      <c r="J13" s="107"/>
      <c r="K13" s="107"/>
      <c r="L13" s="107"/>
      <c r="M13" s="107"/>
      <c r="N13" s="107"/>
      <c r="O13" s="107"/>
      <c r="P13" s="107"/>
      <c r="Q13" s="107"/>
      <c r="R13" s="107"/>
    </row>
    <row r="14" spans="1:86" x14ac:dyDescent="0.25">
      <c r="A14" s="1"/>
      <c r="B14" s="1" t="s">
        <v>9</v>
      </c>
      <c r="C14" s="12">
        <f>Sheet1!K4</f>
        <v>279625</v>
      </c>
      <c r="D14" s="12">
        <f>Sheet1!L4</f>
        <v>302408</v>
      </c>
      <c r="E14" s="12">
        <f>Sheet1!M4</f>
        <v>312663</v>
      </c>
      <c r="F14" s="12">
        <f>Sheet1!D3</f>
        <v>329216</v>
      </c>
      <c r="G14" s="12">
        <f>Sheet1!E3</f>
        <v>417526</v>
      </c>
      <c r="H14" s="12">
        <f>Sheet1!F3</f>
        <v>472023</v>
      </c>
      <c r="I14" s="84">
        <f>I11-I16</f>
        <v>450573.6</v>
      </c>
      <c r="J14" s="85">
        <f t="shared" ref="J14:K14" si="3">J11-J16</f>
        <v>442364.16000000003</v>
      </c>
      <c r="K14" s="85">
        <f t="shared" si="3"/>
        <v>451820</v>
      </c>
      <c r="L14" s="85">
        <f t="shared" ref="L14:R14" si="4">L11-L16</f>
        <v>452910.6</v>
      </c>
      <c r="M14" s="85">
        <f t="shared" si="4"/>
        <v>453864.09599999996</v>
      </c>
      <c r="N14" s="85">
        <f t="shared" si="4"/>
        <v>458807.97275999998</v>
      </c>
      <c r="O14" s="85">
        <f t="shared" si="4"/>
        <v>467984.13221519999</v>
      </c>
      <c r="P14" s="85">
        <f t="shared" si="4"/>
        <v>477343.814859504</v>
      </c>
      <c r="Q14" s="85">
        <f t="shared" si="4"/>
        <v>486890.69115669408</v>
      </c>
      <c r="R14" s="85">
        <f t="shared" si="4"/>
        <v>496628.50497982802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83"/>
      <c r="J15" s="107"/>
      <c r="K15" s="107"/>
      <c r="L15" s="107"/>
      <c r="M15" s="107"/>
      <c r="N15" s="107"/>
      <c r="O15" s="107"/>
      <c r="P15" s="107"/>
      <c r="Q15" s="107"/>
      <c r="R15" s="107"/>
    </row>
    <row r="16" spans="1:86" x14ac:dyDescent="0.25">
      <c r="A16" s="1"/>
      <c r="B16" s="1" t="s">
        <v>10</v>
      </c>
      <c r="C16" s="12">
        <f t="shared" ref="C16:H16" si="5">C11-C14</f>
        <v>210940</v>
      </c>
      <c r="D16" s="12">
        <f t="shared" si="5"/>
        <v>241860</v>
      </c>
      <c r="E16" s="12">
        <f t="shared" si="5"/>
        <v>249756</v>
      </c>
      <c r="F16" s="12">
        <f t="shared" si="5"/>
        <v>264993</v>
      </c>
      <c r="G16" s="12">
        <f t="shared" si="5"/>
        <v>334125</v>
      </c>
      <c r="H16" s="12">
        <f t="shared" si="5"/>
        <v>271332</v>
      </c>
      <c r="I16" s="80">
        <f>I11*I17</f>
        <v>282066.40000000002</v>
      </c>
      <c r="J16" s="105">
        <f t="shared" ref="J16:R16" si="6">J11*J17</f>
        <v>309955.83999999997</v>
      </c>
      <c r="K16" s="105">
        <f t="shared" si="6"/>
        <v>327180</v>
      </c>
      <c r="L16" s="105">
        <f t="shared" si="6"/>
        <v>341669.4</v>
      </c>
      <c r="M16" s="105">
        <f t="shared" si="6"/>
        <v>356607.50400000002</v>
      </c>
      <c r="N16" s="105">
        <f t="shared" si="6"/>
        <v>367873.05924000003</v>
      </c>
      <c r="O16" s="105">
        <f t="shared" si="6"/>
        <v>375230.52042479999</v>
      </c>
      <c r="P16" s="105">
        <f t="shared" si="6"/>
        <v>382735.13083329599</v>
      </c>
      <c r="Q16" s="105">
        <f t="shared" si="6"/>
        <v>390389.83344996197</v>
      </c>
      <c r="R16" s="105">
        <f t="shared" si="6"/>
        <v>398197.63011896121</v>
      </c>
    </row>
    <row r="17" spans="1:18" x14ac:dyDescent="0.25">
      <c r="A17" s="1"/>
      <c r="B17" s="74" t="s">
        <v>11</v>
      </c>
      <c r="C17" s="75">
        <f t="shared" ref="C17:H17" si="7">C16/C11</f>
        <v>0.42999398652574072</v>
      </c>
      <c r="D17" s="75">
        <f t="shared" si="7"/>
        <v>0.44437666737710096</v>
      </c>
      <c r="E17" s="75">
        <f t="shared" si="7"/>
        <v>0.44407461341099785</v>
      </c>
      <c r="F17" s="75">
        <f t="shared" si="7"/>
        <v>0.44595925002818876</v>
      </c>
      <c r="G17" s="75">
        <f t="shared" si="7"/>
        <v>0.44452146009251636</v>
      </c>
      <c r="H17" s="75">
        <f t="shared" si="7"/>
        <v>0.36500998849809313</v>
      </c>
      <c r="I17" s="76">
        <v>0.38500000000000001</v>
      </c>
      <c r="J17" s="108">
        <v>0.41199999999999998</v>
      </c>
      <c r="K17" s="108">
        <v>0.42</v>
      </c>
      <c r="L17" s="108">
        <v>0.43</v>
      </c>
      <c r="M17" s="108">
        <v>0.44</v>
      </c>
      <c r="N17" s="108">
        <v>0.44500000000000001</v>
      </c>
      <c r="O17" s="108">
        <v>0.44500000000000001</v>
      </c>
      <c r="P17" s="108">
        <v>0.44500000000000001</v>
      </c>
      <c r="Q17" s="108">
        <v>0.44500000000000001</v>
      </c>
      <c r="R17" s="108">
        <v>0.44500000000000001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83"/>
      <c r="J18" s="107"/>
      <c r="K18" s="107"/>
      <c r="L18" s="107"/>
      <c r="M18" s="107"/>
      <c r="N18" s="107"/>
      <c r="O18" s="107"/>
      <c r="P18" s="107"/>
      <c r="Q18" s="107"/>
      <c r="R18" s="107"/>
    </row>
    <row r="19" spans="1:18" x14ac:dyDescent="0.25">
      <c r="A19" s="1"/>
      <c r="B19" s="1" t="s">
        <v>12</v>
      </c>
      <c r="C19" s="12">
        <f>Sheet1!K9</f>
        <v>19166</v>
      </c>
      <c r="D19" s="12">
        <f>Sheet1!L9</f>
        <v>20441</v>
      </c>
      <c r="E19" s="12">
        <f>Sheet1!M9</f>
        <v>21926</v>
      </c>
      <c r="F19" s="12">
        <f>Sheet1!D9</f>
        <v>24621</v>
      </c>
      <c r="G19" s="12">
        <f>Sheet1!E9</f>
        <v>25700</v>
      </c>
      <c r="H19" s="12">
        <f>Sheet1!F9</f>
        <v>27712</v>
      </c>
      <c r="I19" s="80">
        <f>I20*I11</f>
        <v>29393.599874945779</v>
      </c>
      <c r="J19" s="105">
        <f t="shared" ref="J19:R19" si="8">J20*J11</f>
        <v>32199.773926563445</v>
      </c>
      <c r="K19" s="105">
        <f t="shared" si="8"/>
        <v>33584.216686567845</v>
      </c>
      <c r="L19" s="105">
        <f t="shared" si="8"/>
        <v>35115.102509310142</v>
      </c>
      <c r="M19" s="105">
        <f t="shared" si="8"/>
        <v>36693.790078287493</v>
      </c>
      <c r="N19" s="105">
        <f t="shared" si="8"/>
        <v>37762.883340790861</v>
      </c>
      <c r="O19" s="105">
        <f t="shared" si="8"/>
        <v>38290.193134169102</v>
      </c>
      <c r="P19" s="105">
        <f t="shared" si="8"/>
        <v>38823.490165946147</v>
      </c>
      <c r="Q19" s="105">
        <f t="shared" si="8"/>
        <v>39362.80300174062</v>
      </c>
      <c r="R19" s="105">
        <f t="shared" si="8"/>
        <v>39908.158954900486</v>
      </c>
    </row>
    <row r="20" spans="1:18" x14ac:dyDescent="0.25">
      <c r="A20" s="1"/>
      <c r="B20" s="72" t="s">
        <v>18</v>
      </c>
      <c r="C20" s="73">
        <f t="shared" ref="C20:R20" si="9">C19/C11</f>
        <v>3.9069236492615657E-2</v>
      </c>
      <c r="D20" s="73">
        <f t="shared" si="9"/>
        <v>3.7556865367796746E-2</v>
      </c>
      <c r="E20" s="73">
        <f t="shared" si="9"/>
        <v>3.8985169419952032E-2</v>
      </c>
      <c r="F20" s="73">
        <f t="shared" si="9"/>
        <v>4.1434915997569877E-2</v>
      </c>
      <c r="G20" s="73">
        <f t="shared" si="9"/>
        <v>3.4191399998137431E-2</v>
      </c>
      <c r="H20" s="73">
        <f t="shared" si="9"/>
        <v>3.7279630862777545E-2</v>
      </c>
      <c r="I20" s="113">
        <v>4.0120113391223219E-2</v>
      </c>
      <c r="J20" s="106">
        <v>4.2800635270315086E-2</v>
      </c>
      <c r="K20" s="106">
        <v>4.3111959803039598E-2</v>
      </c>
      <c r="L20" s="106">
        <v>4.4193287660537824E-2</v>
      </c>
      <c r="M20" s="106">
        <v>4.5274615518036035E-2</v>
      </c>
      <c r="N20" s="106">
        <v>4.5680113464597868E-2</v>
      </c>
      <c r="O20" s="106">
        <v>4.5409781500223317E-2</v>
      </c>
      <c r="P20" s="106">
        <v>4.5139449535848752E-2</v>
      </c>
      <c r="Q20" s="106">
        <v>4.4869117571474208E-2</v>
      </c>
      <c r="R20" s="106">
        <v>4.459878560709965E-2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80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 x14ac:dyDescent="0.25">
      <c r="A22" s="1"/>
      <c r="B22" s="1" t="s">
        <v>54</v>
      </c>
      <c r="C22" s="12">
        <f>Sheet1!K7</f>
        <v>100359</v>
      </c>
      <c r="D22" s="12">
        <f>Sheet1!L7</f>
        <v>112782</v>
      </c>
      <c r="E22" s="12">
        <f>Sheet1!M7</f>
        <v>121480</v>
      </c>
      <c r="F22" s="12">
        <f>Sheet1!D6</f>
        <v>121517</v>
      </c>
      <c r="G22" s="12">
        <f>Sheet1!E6</f>
        <v>141059</v>
      </c>
      <c r="H22" s="12">
        <f>Sheet1!F6</f>
        <v>133891</v>
      </c>
      <c r="I22" s="80">
        <f>I23*I11</f>
        <v>142015.67843736886</v>
      </c>
      <c r="J22" s="105">
        <f t="shared" ref="J22:R22" si="10">J23*J11</f>
        <v>155573.75616344929</v>
      </c>
      <c r="K22" s="105">
        <f t="shared" si="10"/>
        <v>162262.71493870005</v>
      </c>
      <c r="L22" s="105">
        <f t="shared" si="10"/>
        <v>169659.2158658359</v>
      </c>
      <c r="M22" s="105">
        <f t="shared" si="10"/>
        <v>177286.67174408166</v>
      </c>
      <c r="N22" s="105">
        <f t="shared" si="10"/>
        <v>182452.01405101869</v>
      </c>
      <c r="O22" s="105">
        <f t="shared" si="10"/>
        <v>184999.72029904139</v>
      </c>
      <c r="P22" s="105">
        <f t="shared" si="10"/>
        <v>187576.35399136459</v>
      </c>
      <c r="Q22" s="105">
        <f t="shared" si="10"/>
        <v>190182.05314326118</v>
      </c>
      <c r="R22" s="105">
        <f t="shared" si="10"/>
        <v>192816.94971963702</v>
      </c>
    </row>
    <row r="23" spans="1:18" x14ac:dyDescent="0.25">
      <c r="A23" s="1"/>
      <c r="B23" s="72" t="s">
        <v>18</v>
      </c>
      <c r="C23" s="73">
        <f t="shared" ref="C23:R23" si="11">C22/C11</f>
        <v>0.2045783943004495</v>
      </c>
      <c r="D23" s="73">
        <f t="shared" si="11"/>
        <v>0.20721776771737452</v>
      </c>
      <c r="E23" s="73">
        <f t="shared" si="11"/>
        <v>0.21599554780332814</v>
      </c>
      <c r="F23" s="73">
        <f t="shared" si="11"/>
        <v>0.20450211962457654</v>
      </c>
      <c r="G23" s="73">
        <f t="shared" si="11"/>
        <v>0.1876655522310221</v>
      </c>
      <c r="H23" s="73">
        <f t="shared" si="11"/>
        <v>0.18011717147258038</v>
      </c>
      <c r="I23" s="113">
        <v>0.19384101118880878</v>
      </c>
      <c r="J23" s="106">
        <v>0.20679199830318121</v>
      </c>
      <c r="K23" s="106">
        <v>0.20829616808562265</v>
      </c>
      <c r="L23" s="106">
        <v>0.213520622046661</v>
      </c>
      <c r="M23" s="106">
        <v>0.2187450760076993</v>
      </c>
      <c r="N23" s="106">
        <v>0.22070424624308871</v>
      </c>
      <c r="O23" s="106">
        <v>0.2193981327528291</v>
      </c>
      <c r="P23" s="106">
        <v>0.21809201926256949</v>
      </c>
      <c r="Q23" s="106">
        <v>0.21678590577230994</v>
      </c>
      <c r="R23" s="106">
        <v>0.21547979228205033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80"/>
      <c r="J24" s="105"/>
      <c r="K24" s="105"/>
      <c r="L24" s="105"/>
      <c r="M24" s="105"/>
      <c r="N24" s="105"/>
      <c r="O24" s="105"/>
      <c r="P24" s="105"/>
      <c r="Q24" s="105"/>
      <c r="R24" s="105"/>
    </row>
    <row r="25" spans="1:18" x14ac:dyDescent="0.25">
      <c r="A25" s="1"/>
      <c r="B25" s="1" t="s">
        <v>55</v>
      </c>
      <c r="C25" s="12">
        <f>Sheet1!K8</f>
        <v>45824</v>
      </c>
      <c r="D25" s="12">
        <f>Sheet1!L8</f>
        <v>45616</v>
      </c>
      <c r="E25" s="12">
        <f>Sheet1!M8</f>
        <v>42576</v>
      </c>
      <c r="F25" s="12">
        <f>Sheet1!D7</f>
        <v>47785</v>
      </c>
      <c r="G25" s="12">
        <f>Sheet1!E7</f>
        <v>56083</v>
      </c>
      <c r="H25" s="12">
        <f>Sheet1!F7</f>
        <v>43419</v>
      </c>
      <c r="I25" s="86">
        <f>I26*I11</f>
        <v>46053.720877968779</v>
      </c>
      <c r="J25" s="109">
        <f t="shared" ref="J25:R25" si="12">J26*J11</f>
        <v>50450.418018095341</v>
      </c>
      <c r="K25" s="109">
        <f t="shared" si="12"/>
        <v>52619.554861218581</v>
      </c>
      <c r="L25" s="109">
        <f t="shared" si="12"/>
        <v>55018.137841070187</v>
      </c>
      <c r="M25" s="109">
        <f t="shared" si="12"/>
        <v>57491.616318171364</v>
      </c>
      <c r="N25" s="109">
        <f t="shared" si="12"/>
        <v>59166.665407541805</v>
      </c>
      <c r="O25" s="109">
        <f t="shared" si="12"/>
        <v>59992.851316847868</v>
      </c>
      <c r="P25" s="109">
        <f t="shared" si="12"/>
        <v>60828.417996363169</v>
      </c>
      <c r="Q25" s="109">
        <f t="shared" si="12"/>
        <v>61673.410202532345</v>
      </c>
      <c r="R25" s="109">
        <f t="shared" si="12"/>
        <v>62527.870729749724</v>
      </c>
    </row>
    <row r="26" spans="1:18" x14ac:dyDescent="0.25">
      <c r="A26" s="1"/>
      <c r="B26" s="72" t="s">
        <v>18</v>
      </c>
      <c r="C26" s="73">
        <f t="shared" ref="C26:R26" si="13">C25/C11</f>
        <v>9.3410659137932797E-2</v>
      </c>
      <c r="D26" s="73">
        <f t="shared" si="13"/>
        <v>8.3811651612808402E-2</v>
      </c>
      <c r="E26" s="73">
        <f t="shared" si="13"/>
        <v>7.5701567692414373E-2</v>
      </c>
      <c r="F26" s="73">
        <f t="shared" si="13"/>
        <v>8.0417832782741422E-2</v>
      </c>
      <c r="G26" s="73">
        <f t="shared" si="13"/>
        <v>7.4613085062083334E-2</v>
      </c>
      <c r="H26" s="73">
        <f t="shared" si="13"/>
        <v>5.8409508243033273E-2</v>
      </c>
      <c r="I26" s="113">
        <v>6.2859959704587215E-2</v>
      </c>
      <c r="J26" s="106">
        <v>6.7059785753529541E-2</v>
      </c>
      <c r="K26" s="106">
        <v>6.7547567215941698E-2</v>
      </c>
      <c r="L26" s="106">
        <v>6.9241785397405151E-2</v>
      </c>
      <c r="M26" s="106">
        <v>7.0936003578868603E-2</v>
      </c>
      <c r="N26" s="106">
        <v>7.1571335396917402E-2</v>
      </c>
      <c r="O26" s="106">
        <v>7.1147780851551531E-2</v>
      </c>
      <c r="P26" s="106">
        <v>7.0724226306185675E-2</v>
      </c>
      <c r="Q26" s="106">
        <v>7.0300671760819819E-2</v>
      </c>
      <c r="R26" s="106">
        <v>6.9877117215453949E-2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6"/>
      <c r="J27" s="109"/>
      <c r="K27" s="109"/>
      <c r="L27" s="109"/>
      <c r="M27" s="109"/>
      <c r="N27" s="109"/>
      <c r="O27" s="109"/>
      <c r="P27" s="109"/>
      <c r="Q27" s="109"/>
      <c r="R27" s="109"/>
    </row>
    <row r="28" spans="1:18" x14ac:dyDescent="0.25">
      <c r="A28" s="1"/>
      <c r="B28" s="1" t="s">
        <v>58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6">
        <f t="shared" ref="I28:R28" si="14">I29*I11</f>
        <v>0</v>
      </c>
      <c r="J28" s="109">
        <f t="shared" si="14"/>
        <v>0</v>
      </c>
      <c r="K28" s="109">
        <f t="shared" si="14"/>
        <v>0</v>
      </c>
      <c r="L28" s="109">
        <f t="shared" si="14"/>
        <v>0</v>
      </c>
      <c r="M28" s="109">
        <f t="shared" si="14"/>
        <v>0</v>
      </c>
      <c r="N28" s="109">
        <f t="shared" si="14"/>
        <v>0</v>
      </c>
      <c r="O28" s="109">
        <f t="shared" si="14"/>
        <v>0</v>
      </c>
      <c r="P28" s="109">
        <f t="shared" si="14"/>
        <v>0</v>
      </c>
      <c r="Q28" s="109">
        <f t="shared" si="14"/>
        <v>0</v>
      </c>
      <c r="R28" s="109">
        <f t="shared" si="14"/>
        <v>0</v>
      </c>
    </row>
    <row r="29" spans="1:18" x14ac:dyDescent="0.25">
      <c r="A29" s="1"/>
      <c r="B29" s="72" t="s">
        <v>18</v>
      </c>
      <c r="C29" s="73">
        <f t="shared" ref="C29:H29" si="15">C28/C11</f>
        <v>0</v>
      </c>
      <c r="D29" s="73">
        <f t="shared" si="15"/>
        <v>0</v>
      </c>
      <c r="E29" s="73">
        <f t="shared" si="15"/>
        <v>0</v>
      </c>
      <c r="F29" s="73">
        <f t="shared" si="15"/>
        <v>0</v>
      </c>
      <c r="G29" s="73">
        <f t="shared" si="15"/>
        <v>0</v>
      </c>
      <c r="H29" s="73">
        <f t="shared" si="15"/>
        <v>0</v>
      </c>
      <c r="I29" s="81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2">
        <v>0</v>
      </c>
      <c r="P29" s="82">
        <v>0</v>
      </c>
      <c r="Q29" s="82">
        <v>0</v>
      </c>
      <c r="R29" s="82">
        <v>0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86"/>
      <c r="J30" s="109"/>
      <c r="K30" s="109"/>
      <c r="L30" s="109"/>
      <c r="M30" s="109"/>
      <c r="N30" s="109"/>
      <c r="O30" s="109"/>
      <c r="P30" s="109"/>
      <c r="Q30" s="109"/>
      <c r="R30" s="109"/>
    </row>
    <row r="31" spans="1:18" x14ac:dyDescent="0.25">
      <c r="A31" s="1"/>
      <c r="B31" s="1" t="s">
        <v>13</v>
      </c>
      <c r="C31" s="12">
        <f>C19+C22+C25+C28</f>
        <v>165349</v>
      </c>
      <c r="D31" s="12">
        <f t="shared" ref="D31:R31" si="16">D19+D22+D25+D28</f>
        <v>178839</v>
      </c>
      <c r="E31" s="12">
        <f t="shared" si="16"/>
        <v>185982</v>
      </c>
      <c r="F31" s="12">
        <f t="shared" si="16"/>
        <v>193923</v>
      </c>
      <c r="G31" s="12">
        <f t="shared" si="16"/>
        <v>222842</v>
      </c>
      <c r="H31" s="12">
        <f t="shared" si="16"/>
        <v>205022</v>
      </c>
      <c r="I31" s="86">
        <v>217462.99919028342</v>
      </c>
      <c r="J31" s="109">
        <v>238223.94810810807</v>
      </c>
      <c r="K31" s="109">
        <v>248466.48648648648</v>
      </c>
      <c r="L31" s="109">
        <v>259792.45621621623</v>
      </c>
      <c r="M31" s="109">
        <v>271472.07814054051</v>
      </c>
      <c r="N31" s="109">
        <v>279381.56279935135</v>
      </c>
      <c r="O31" s="109">
        <v>283282.76475005836</v>
      </c>
      <c r="P31" s="109">
        <v>287228.26215367392</v>
      </c>
      <c r="Q31" s="109">
        <v>291218.26634753414</v>
      </c>
      <c r="R31" s="109">
        <v>295252.97940428724</v>
      </c>
    </row>
    <row r="32" spans="1:18" x14ac:dyDescent="0.25">
      <c r="A32" s="1"/>
      <c r="B32" s="72" t="s">
        <v>18</v>
      </c>
      <c r="C32" s="73">
        <f t="shared" ref="C32:R32" si="17">C31/C11</f>
        <v>0.33705828993099796</v>
      </c>
      <c r="D32" s="73">
        <f t="shared" si="17"/>
        <v>0.32858628469797968</v>
      </c>
      <c r="E32" s="73">
        <f t="shared" si="17"/>
        <v>0.33068228491569451</v>
      </c>
      <c r="F32" s="73">
        <f t="shared" si="17"/>
        <v>0.32635486840488787</v>
      </c>
      <c r="G32" s="73">
        <f t="shared" si="17"/>
        <v>0.29647003729124288</v>
      </c>
      <c r="H32" s="73">
        <f t="shared" si="17"/>
        <v>0.27580631057839122</v>
      </c>
      <c r="I32" s="81">
        <f t="shared" si="17"/>
        <v>0.29682108428461923</v>
      </c>
      <c r="J32" s="82">
        <f t="shared" si="17"/>
        <v>0.31665241932702581</v>
      </c>
      <c r="K32" s="82">
        <f t="shared" si="17"/>
        <v>0.31895569510460398</v>
      </c>
      <c r="L32" s="82">
        <f t="shared" si="17"/>
        <v>0.32695569510460398</v>
      </c>
      <c r="M32" s="82">
        <f t="shared" si="17"/>
        <v>0.33495569510460393</v>
      </c>
      <c r="N32" s="82">
        <f t="shared" si="17"/>
        <v>0.33795569510460394</v>
      </c>
      <c r="O32" s="82">
        <f t="shared" si="17"/>
        <v>0.33595569510460394</v>
      </c>
      <c r="P32" s="82">
        <f t="shared" si="17"/>
        <v>0.33395569510460393</v>
      </c>
      <c r="Q32" s="82">
        <f t="shared" si="17"/>
        <v>0.33195569510460399</v>
      </c>
      <c r="R32" s="82">
        <f t="shared" si="17"/>
        <v>0.32995569510460393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87"/>
      <c r="J33" s="88"/>
      <c r="K33" s="88"/>
      <c r="L33" s="88"/>
      <c r="M33" s="88"/>
      <c r="N33" s="88"/>
      <c r="O33" s="88"/>
      <c r="P33" s="88"/>
      <c r="Q33" s="88"/>
      <c r="R33" s="88"/>
    </row>
    <row r="34" spans="1:86" x14ac:dyDescent="0.25">
      <c r="A34" s="1"/>
      <c r="B34" s="1" t="s">
        <v>14</v>
      </c>
      <c r="C34" s="12">
        <f>C16-C31</f>
        <v>45591</v>
      </c>
      <c r="D34" s="12">
        <f t="shared" ref="D34:H34" si="18">D16-D31</f>
        <v>63021</v>
      </c>
      <c r="E34" s="12">
        <f t="shared" si="18"/>
        <v>63774</v>
      </c>
      <c r="F34" s="12">
        <f t="shared" si="18"/>
        <v>71070</v>
      </c>
      <c r="G34" s="12">
        <f t="shared" si="18"/>
        <v>111283</v>
      </c>
      <c r="H34" s="12">
        <f t="shared" si="18"/>
        <v>66310</v>
      </c>
      <c r="I34" s="86">
        <f t="shared" ref="I34:R34" si="19">I16-I19-I22-I25-I28</f>
        <v>64603.400809716622</v>
      </c>
      <c r="J34" s="109">
        <f t="shared" si="19"/>
        <v>71731.891891891893</v>
      </c>
      <c r="K34" s="109">
        <f t="shared" si="19"/>
        <v>78713.513513513491</v>
      </c>
      <c r="L34" s="109">
        <f t="shared" si="19"/>
        <v>81876.94378378382</v>
      </c>
      <c r="M34" s="109">
        <f t="shared" si="19"/>
        <v>85135.425859459516</v>
      </c>
      <c r="N34" s="109">
        <f t="shared" si="19"/>
        <v>88491.496440648669</v>
      </c>
      <c r="O34" s="109">
        <f t="shared" si="19"/>
        <v>91947.755674741638</v>
      </c>
      <c r="P34" s="109">
        <f t="shared" si="19"/>
        <v>95506.868679622101</v>
      </c>
      <c r="Q34" s="109">
        <f t="shared" si="19"/>
        <v>99171.567102427856</v>
      </c>
      <c r="R34" s="109">
        <f t="shared" si="19"/>
        <v>102944.650714674</v>
      </c>
    </row>
    <row r="35" spans="1:86" x14ac:dyDescent="0.25">
      <c r="A35" s="1"/>
      <c r="B35" s="1" t="s">
        <v>15</v>
      </c>
      <c r="C35" s="70">
        <f>(Sheet1!K12+Sheet1!K13+Sheet1!K14)*(-1)</f>
        <v>2619</v>
      </c>
      <c r="D35" s="70">
        <f>(Sheet1!L12+Sheet1!L13+Sheet1!L14)*(-1)</f>
        <v>5085</v>
      </c>
      <c r="E35" s="70">
        <f>(Sheet1!M12+Sheet1!M13+Sheet1!M14)*(-1)</f>
        <v>2733</v>
      </c>
      <c r="F35" s="70">
        <f>(Sheet1!D12+Sheet1!D13+Sheet1!D14)*(-1)</f>
        <v>2632</v>
      </c>
      <c r="G35" s="70">
        <f>(Sheet1!E12+Sheet1!E13+Sheet1!E14)*(-1)</f>
        <v>1639</v>
      </c>
      <c r="H35" s="70">
        <f>(Sheet1!F12+Sheet1!F13+Sheet1!F14)*(-1)</f>
        <v>-7422</v>
      </c>
      <c r="I35" s="89">
        <f>I36*I11</f>
        <v>-5861.12</v>
      </c>
      <c r="J35" s="90">
        <f t="shared" ref="J35:R35" si="20">J36*J11</f>
        <v>-3761.6</v>
      </c>
      <c r="K35" s="90">
        <f t="shared" si="20"/>
        <v>-1558</v>
      </c>
      <c r="L35" s="90">
        <f t="shared" si="20"/>
        <v>2383.7400000000002</v>
      </c>
      <c r="M35" s="90">
        <f t="shared" si="20"/>
        <v>4052.3580000000002</v>
      </c>
      <c r="N35" s="90">
        <f t="shared" si="20"/>
        <v>4133.4051600000003</v>
      </c>
      <c r="O35" s="90">
        <f t="shared" si="20"/>
        <v>4216.0732631999999</v>
      </c>
      <c r="P35" s="90">
        <f t="shared" si="20"/>
        <v>4300.3947284639999</v>
      </c>
      <c r="Q35" s="90">
        <f t="shared" si="20"/>
        <v>4386.4026230332802</v>
      </c>
      <c r="R35" s="90">
        <f t="shared" si="20"/>
        <v>4474.130675493946</v>
      </c>
    </row>
    <row r="36" spans="1:86" x14ac:dyDescent="0.25">
      <c r="A36" s="1"/>
      <c r="B36" s="72" t="s">
        <v>18</v>
      </c>
      <c r="C36" s="73">
        <f>C35/C11</f>
        <v>5.3387420627235942E-3</v>
      </c>
      <c r="D36" s="73">
        <f t="shared" ref="D36:H36" si="21">D35/D11</f>
        <v>9.3428237559437625E-3</v>
      </c>
      <c r="E36" s="73">
        <f t="shared" si="21"/>
        <v>4.859366415430489E-3</v>
      </c>
      <c r="F36" s="73">
        <f t="shared" si="21"/>
        <v>4.4294179320744044E-3</v>
      </c>
      <c r="G36" s="73">
        <f t="shared" si="21"/>
        <v>2.1805332527995041E-3</v>
      </c>
      <c r="H36" s="73">
        <f t="shared" si="21"/>
        <v>-9.9844623362996144E-3</v>
      </c>
      <c r="I36" s="81">
        <v>-8.0000000000000002E-3</v>
      </c>
      <c r="J36" s="82">
        <v>-5.0000000000000001E-3</v>
      </c>
      <c r="K36" s="82">
        <v>-2E-3</v>
      </c>
      <c r="L36" s="82">
        <v>3.0000000000000001E-3</v>
      </c>
      <c r="M36" s="82">
        <v>5.0000000000000001E-3</v>
      </c>
      <c r="N36" s="82">
        <v>5.0000000000000001E-3</v>
      </c>
      <c r="O36" s="82">
        <v>5.0000000000000001E-3</v>
      </c>
      <c r="P36" s="82">
        <v>5.0000000000000001E-3</v>
      </c>
      <c r="Q36" s="82">
        <v>5.0000000000000001E-3</v>
      </c>
      <c r="R36" s="82">
        <v>5.0000000000000001E-3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83"/>
      <c r="J37" s="107"/>
      <c r="K37" s="107"/>
      <c r="L37" s="107"/>
      <c r="M37" s="107"/>
      <c r="N37" s="107"/>
      <c r="O37" s="107"/>
      <c r="P37" s="107"/>
      <c r="Q37" s="107"/>
      <c r="R37" s="107"/>
    </row>
    <row r="38" spans="1:86" x14ac:dyDescent="0.25">
      <c r="A38" s="1"/>
      <c r="B38" s="1" t="s">
        <v>16</v>
      </c>
      <c r="C38" s="12">
        <f>C34+C35</f>
        <v>48210</v>
      </c>
      <c r="D38" s="12">
        <f t="shared" ref="D38:H38" si="22">D34+D35</f>
        <v>68106</v>
      </c>
      <c r="E38" s="12">
        <f t="shared" si="22"/>
        <v>66507</v>
      </c>
      <c r="F38" s="12">
        <f t="shared" si="22"/>
        <v>73702</v>
      </c>
      <c r="G38" s="12">
        <f t="shared" si="22"/>
        <v>112922</v>
      </c>
      <c r="H38" s="12">
        <f t="shared" si="22"/>
        <v>58888</v>
      </c>
      <c r="I38" s="86">
        <f t="shared" ref="I38:R38" si="23">I16-I31+I35</f>
        <v>58742.280809716605</v>
      </c>
      <c r="J38" s="109">
        <f t="shared" si="23"/>
        <v>67970.291891891888</v>
      </c>
      <c r="K38" s="109">
        <f t="shared" si="23"/>
        <v>77155.513513513521</v>
      </c>
      <c r="L38" s="109">
        <f t="shared" si="23"/>
        <v>84260.683783783796</v>
      </c>
      <c r="M38" s="109">
        <f t="shared" si="23"/>
        <v>89187.783859459509</v>
      </c>
      <c r="N38" s="109">
        <f t="shared" si="23"/>
        <v>92624.901600648678</v>
      </c>
      <c r="O38" s="109">
        <f t="shared" si="23"/>
        <v>96163.828937941638</v>
      </c>
      <c r="P38" s="109">
        <f t="shared" si="23"/>
        <v>99807.263408086073</v>
      </c>
      <c r="Q38" s="109">
        <f t="shared" si="23"/>
        <v>103557.96972546111</v>
      </c>
      <c r="R38" s="109">
        <f t="shared" si="23"/>
        <v>107418.78139016792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83"/>
      <c r="J39" s="107"/>
      <c r="K39" s="107"/>
      <c r="L39" s="107"/>
      <c r="M39" s="107"/>
      <c r="N39" s="107"/>
      <c r="O39" s="107"/>
      <c r="P39" s="107"/>
      <c r="Q39" s="107"/>
      <c r="R39" s="107"/>
    </row>
    <row r="40" spans="1:86" x14ac:dyDescent="0.25">
      <c r="A40" s="1"/>
      <c r="B40" s="1" t="s">
        <v>17</v>
      </c>
      <c r="C40" s="12">
        <f t="shared" ref="C40:H40" si="24">C34</f>
        <v>45591</v>
      </c>
      <c r="D40" s="12">
        <f t="shared" si="24"/>
        <v>63021</v>
      </c>
      <c r="E40" s="12">
        <f t="shared" si="24"/>
        <v>63774</v>
      </c>
      <c r="F40" s="12">
        <f t="shared" si="24"/>
        <v>71070</v>
      </c>
      <c r="G40" s="12">
        <f t="shared" si="24"/>
        <v>111283</v>
      </c>
      <c r="H40" s="12">
        <f t="shared" si="24"/>
        <v>66310</v>
      </c>
      <c r="I40" s="86">
        <v>64603.400809716601</v>
      </c>
      <c r="J40" s="109">
        <v>71731.891891891893</v>
      </c>
      <c r="K40" s="109">
        <v>78713.513513513521</v>
      </c>
      <c r="L40" s="109">
        <v>81876.94378378379</v>
      </c>
      <c r="M40" s="109">
        <v>85135.425859459472</v>
      </c>
      <c r="N40" s="109">
        <v>88491.496440648669</v>
      </c>
      <c r="O40" s="109">
        <v>91947.755674741638</v>
      </c>
      <c r="P40" s="109">
        <v>95506.868679622072</v>
      </c>
      <c r="Q40" s="109">
        <v>99171.567102427827</v>
      </c>
      <c r="R40" s="109">
        <v>102944.65071467398</v>
      </c>
    </row>
    <row r="41" spans="1:86" x14ac:dyDescent="0.25">
      <c r="A41" s="1"/>
      <c r="B41" s="72" t="s">
        <v>18</v>
      </c>
      <c r="C41" s="73">
        <f t="shared" ref="C41:H41" si="25">C40/C11</f>
        <v>9.2935696594742795E-2</v>
      </c>
      <c r="D41" s="73">
        <f t="shared" si="25"/>
        <v>0.11579038267912131</v>
      </c>
      <c r="E41" s="73">
        <f t="shared" si="25"/>
        <v>0.11339232849530333</v>
      </c>
      <c r="F41" s="73">
        <f t="shared" si="25"/>
        <v>0.11960438162330089</v>
      </c>
      <c r="G41" s="73">
        <f t="shared" si="25"/>
        <v>0.14805142280127345</v>
      </c>
      <c r="H41" s="73">
        <f t="shared" si="25"/>
        <v>8.9203677919701893E-2</v>
      </c>
      <c r="I41" s="81">
        <v>8.8178915715380821E-2</v>
      </c>
      <c r="J41" s="82">
        <v>9.5347580672974122E-2</v>
      </c>
      <c r="K41" s="82">
        <v>0.10104430489539605</v>
      </c>
      <c r="L41" s="82">
        <v>0.10304430489539605</v>
      </c>
      <c r="M41" s="82">
        <v>0.10504430489539605</v>
      </c>
      <c r="N41" s="82">
        <v>0.10704430489539606</v>
      </c>
      <c r="O41" s="82">
        <v>0.10904430489539606</v>
      </c>
      <c r="P41" s="82">
        <v>0.11104430489539606</v>
      </c>
      <c r="Q41" s="82">
        <v>0.11304430489539606</v>
      </c>
      <c r="R41" s="82">
        <v>0.11504430489539606</v>
      </c>
    </row>
    <row r="42" spans="1:86" x14ac:dyDescent="0.25">
      <c r="A42" s="1"/>
      <c r="B42" s="14"/>
      <c r="C42" s="1"/>
      <c r="D42" s="1"/>
      <c r="E42" s="1"/>
      <c r="G42" s="1"/>
      <c r="H42" s="1"/>
      <c r="I42" s="83"/>
      <c r="J42" s="107"/>
      <c r="K42" s="107"/>
      <c r="L42" s="107"/>
      <c r="M42" s="107"/>
      <c r="N42" s="107"/>
      <c r="O42" s="107"/>
      <c r="P42" s="107"/>
      <c r="Q42" s="107"/>
      <c r="R42" s="107"/>
    </row>
    <row r="43" spans="1:86" x14ac:dyDescent="0.25">
      <c r="A43" s="1"/>
      <c r="B43" s="1" t="s">
        <v>19</v>
      </c>
      <c r="C43" s="19">
        <f>Sheet1!K16</f>
        <v>13053</v>
      </c>
      <c r="D43" s="19">
        <f>Sheet1!L16</f>
        <v>27437</v>
      </c>
      <c r="E43" s="19">
        <f>Sheet1!M16</f>
        <v>15094</v>
      </c>
      <c r="F43" s="21">
        <f>Sheet1!D16</f>
        <v>18469</v>
      </c>
      <c r="G43" s="21">
        <f>Sheet1!E16</f>
        <v>29541</v>
      </c>
      <c r="H43" s="21">
        <f>Sheet1!F16</f>
        <v>14397</v>
      </c>
      <c r="I43" s="80">
        <f>I44*I40</f>
        <v>16732.280809716602</v>
      </c>
      <c r="J43" s="105">
        <f t="shared" ref="J43:R43" si="26">J44*J40</f>
        <v>18650.291891891891</v>
      </c>
      <c r="K43" s="105">
        <f t="shared" si="26"/>
        <v>20465.513513513517</v>
      </c>
      <c r="L43" s="105">
        <f t="shared" si="26"/>
        <v>21288.005383783788</v>
      </c>
      <c r="M43" s="105">
        <f t="shared" si="26"/>
        <v>22135.210723459462</v>
      </c>
      <c r="N43" s="105">
        <f t="shared" si="26"/>
        <v>23007.789074568656</v>
      </c>
      <c r="O43" s="105">
        <f t="shared" si="26"/>
        <v>23906.416475432827</v>
      </c>
      <c r="P43" s="105">
        <f t="shared" si="26"/>
        <v>24831.785856701739</v>
      </c>
      <c r="Q43" s="105">
        <f t="shared" si="26"/>
        <v>25784.607446631235</v>
      </c>
      <c r="R43" s="105">
        <f t="shared" si="26"/>
        <v>26765.609185815236</v>
      </c>
    </row>
    <row r="44" spans="1:86" x14ac:dyDescent="0.25">
      <c r="A44" s="1"/>
      <c r="B44" s="72" t="s">
        <v>20</v>
      </c>
      <c r="C44" s="77">
        <f t="shared" ref="C44:H44" si="27">C43/C40</f>
        <v>0.28630650786339407</v>
      </c>
      <c r="D44" s="77">
        <f t="shared" si="27"/>
        <v>0.43536281556941336</v>
      </c>
      <c r="E44" s="77">
        <f t="shared" si="27"/>
        <v>0.23667952457114186</v>
      </c>
      <c r="F44" s="77">
        <f t="shared" si="27"/>
        <v>0.25987055016181232</v>
      </c>
      <c r="G44" s="77">
        <f t="shared" si="27"/>
        <v>0.26545833595427876</v>
      </c>
      <c r="H44" s="77">
        <f t="shared" si="27"/>
        <v>0.21711657366912984</v>
      </c>
      <c r="I44" s="91">
        <v>0.25900000000000001</v>
      </c>
      <c r="J44" s="110">
        <v>0.26</v>
      </c>
      <c r="K44" s="110">
        <v>0.26</v>
      </c>
      <c r="L44" s="110">
        <v>0.26</v>
      </c>
      <c r="M44" s="110">
        <v>0.26</v>
      </c>
      <c r="N44" s="110">
        <v>0.26</v>
      </c>
      <c r="O44" s="110">
        <v>0.26</v>
      </c>
      <c r="P44" s="110">
        <v>0.26</v>
      </c>
      <c r="Q44" s="110">
        <v>0.26</v>
      </c>
      <c r="R44" s="110">
        <v>0.26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83"/>
      <c r="J45" s="107"/>
      <c r="K45" s="107"/>
      <c r="L45" s="107"/>
      <c r="M45" s="107"/>
      <c r="N45" s="107"/>
      <c r="O45" s="107"/>
      <c r="P45" s="107"/>
      <c r="Q45" s="107"/>
      <c r="R45" s="107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92">
        <v>2023</v>
      </c>
      <c r="J46" s="111">
        <v>2024</v>
      </c>
      <c r="K46" s="111">
        <v>2025</v>
      </c>
      <c r="L46" s="111">
        <v>2026</v>
      </c>
      <c r="M46" s="111">
        <v>2027</v>
      </c>
      <c r="N46" s="111">
        <v>2028</v>
      </c>
      <c r="O46" s="111">
        <v>2029</v>
      </c>
      <c r="P46" s="111">
        <v>2030</v>
      </c>
      <c r="Q46" s="111">
        <v>2031</v>
      </c>
      <c r="R46" s="111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f>Sheet2!K6+Sheet2!K7</f>
        <v>13080</v>
      </c>
      <c r="D47" s="12">
        <f>Sheet2!L6+Sheet2!L7</f>
        <v>13105</v>
      </c>
      <c r="E47" s="12">
        <f>Sheet2!M6+Sheet2!M7</f>
        <v>13964</v>
      </c>
      <c r="F47" s="21">
        <f>Sheet2!D5+Sheet2!D6</f>
        <v>14926</v>
      </c>
      <c r="G47" s="21">
        <f>Sheet2!E5+Sheet2!E6</f>
        <v>13401</v>
      </c>
      <c r="H47" s="21">
        <f>Sheet2!F5+Sheet2!F6</f>
        <v>14234</v>
      </c>
      <c r="I47" s="80">
        <f>I48*I11</f>
        <v>14876.843928571428</v>
      </c>
      <c r="J47" s="105">
        <f t="shared" ref="J47:R47" si="28">J48*J11</f>
        <v>13541.759999999998</v>
      </c>
      <c r="K47" s="105">
        <f t="shared" si="28"/>
        <v>14021.999999999998</v>
      </c>
      <c r="L47" s="105">
        <f t="shared" si="28"/>
        <v>13507.86</v>
      </c>
      <c r="M47" s="105">
        <f t="shared" si="28"/>
        <v>13778.0172</v>
      </c>
      <c r="N47" s="105">
        <f t="shared" si="28"/>
        <v>13226.896512000001</v>
      </c>
      <c r="O47" s="105">
        <f t="shared" si="28"/>
        <v>13491.434442240001</v>
      </c>
      <c r="P47" s="105">
        <f t="shared" si="28"/>
        <v>13761.263131084799</v>
      </c>
      <c r="Q47" s="105">
        <f t="shared" si="28"/>
        <v>14036.488393706497</v>
      </c>
      <c r="R47" s="105">
        <f t="shared" si="28"/>
        <v>14317.218161580628</v>
      </c>
    </row>
    <row r="48" spans="1:86" x14ac:dyDescent="0.25">
      <c r="A48" s="1"/>
      <c r="B48" s="72" t="s">
        <v>18</v>
      </c>
      <c r="C48" s="73">
        <f t="shared" ref="C48:H48" si="29">C47/C11</f>
        <v>2.666313332585896E-2</v>
      </c>
      <c r="D48" s="73">
        <f t="shared" si="29"/>
        <v>2.4078211469349659E-2</v>
      </c>
      <c r="E48" s="73">
        <f t="shared" si="29"/>
        <v>2.4828464187731922E-2</v>
      </c>
      <c r="F48" s="73">
        <f t="shared" si="29"/>
        <v>2.5119107923306447E-2</v>
      </c>
      <c r="G48" s="73">
        <f t="shared" si="29"/>
        <v>1.7828752971791428E-2</v>
      </c>
      <c r="H48" s="73">
        <f t="shared" si="29"/>
        <v>1.9148320788855932E-2</v>
      </c>
      <c r="I48" s="81">
        <v>2.0305803571428572E-2</v>
      </c>
      <c r="J48" s="82">
        <v>1.7999999999999999E-2</v>
      </c>
      <c r="K48" s="82">
        <v>1.7999999999999999E-2</v>
      </c>
      <c r="L48" s="82">
        <v>1.7000000000000001E-2</v>
      </c>
      <c r="M48" s="82">
        <v>1.7000000000000001E-2</v>
      </c>
      <c r="N48" s="82">
        <v>1.6E-2</v>
      </c>
      <c r="O48" s="82">
        <v>1.6E-2</v>
      </c>
      <c r="P48" s="82">
        <v>1.6E-2</v>
      </c>
      <c r="Q48" s="82">
        <v>1.6E-2</v>
      </c>
      <c r="R48" s="82">
        <v>1.6E-2</v>
      </c>
    </row>
    <row r="49" spans="1:86" x14ac:dyDescent="0.25">
      <c r="A49" s="1"/>
      <c r="B49" s="1"/>
      <c r="C49" s="1"/>
      <c r="D49" s="1"/>
      <c r="E49" s="1"/>
      <c r="G49" s="1"/>
      <c r="H49" s="1"/>
      <c r="I49" s="83"/>
      <c r="J49" s="107"/>
      <c r="K49" s="107"/>
      <c r="L49" s="107"/>
      <c r="M49" s="107"/>
      <c r="N49" s="107"/>
      <c r="O49" s="107"/>
      <c r="P49" s="107"/>
      <c r="Q49" s="107"/>
      <c r="R49" s="107"/>
    </row>
    <row r="50" spans="1:86" x14ac:dyDescent="0.25">
      <c r="A50" s="1"/>
      <c r="B50" s="1" t="s">
        <v>23</v>
      </c>
      <c r="C50" s="12">
        <f>SUM(Sheet2!K28)</f>
        <v>-11613</v>
      </c>
      <c r="D50" s="12">
        <f>SUM(Sheet2!L28)</f>
        <v>-19152</v>
      </c>
      <c r="E50" s="12">
        <f>SUM(Sheet2!M28)</f>
        <v>-16786</v>
      </c>
      <c r="F50" s="21">
        <f>SUM(Sheet2!D29)</f>
        <v>-15600</v>
      </c>
      <c r="G50" s="21">
        <f>SUM(Sheet2!E29)</f>
        <v>-21409</v>
      </c>
      <c r="H50" s="21">
        <f>SUM(Sheet2!F29)</f>
        <v>-31690</v>
      </c>
      <c r="I50" s="80">
        <v>-25990</v>
      </c>
      <c r="J50" s="105">
        <v>-26090</v>
      </c>
      <c r="K50" s="105">
        <v>-26500</v>
      </c>
      <c r="L50" s="105">
        <f t="shared" ref="J50:R50" si="30">L51*L11</f>
        <v>-26221.14</v>
      </c>
      <c r="M50" s="105">
        <f t="shared" si="30"/>
        <v>-25935.091199999999</v>
      </c>
      <c r="N50" s="105">
        <f t="shared" si="30"/>
        <v>-25627.111991999998</v>
      </c>
      <c r="O50" s="105">
        <f t="shared" si="30"/>
        <v>-25296.4395792</v>
      </c>
      <c r="P50" s="105">
        <f t="shared" si="30"/>
        <v>-24942.2894250912</v>
      </c>
      <c r="Q50" s="105">
        <f t="shared" si="30"/>
        <v>-24563.854688986368</v>
      </c>
      <c r="R50" s="105">
        <f t="shared" si="30"/>
        <v>-24160.305647667305</v>
      </c>
    </row>
    <row r="51" spans="1:86" x14ac:dyDescent="0.25">
      <c r="A51" s="1"/>
      <c r="B51" s="72" t="s">
        <v>18</v>
      </c>
      <c r="C51" s="73">
        <f t="shared" ref="C51:K51" si="31">C50/C11</f>
        <v>-2.3672703923027529E-2</v>
      </c>
      <c r="D51" s="73">
        <f t="shared" si="31"/>
        <v>-3.5188546818846596E-2</v>
      </c>
      <c r="E51" s="73">
        <f t="shared" si="31"/>
        <v>-2.9846075612666001E-2</v>
      </c>
      <c r="F51" s="73">
        <f t="shared" si="31"/>
        <v>-2.6253388959103615E-2</v>
      </c>
      <c r="G51" s="73">
        <f t="shared" si="31"/>
        <v>-2.8482633562650753E-2</v>
      </c>
      <c r="H51" s="73">
        <f t="shared" si="31"/>
        <v>-4.26310443865986E-2</v>
      </c>
      <c r="I51" s="113">
        <f t="shared" si="31"/>
        <v>-3.5474448569556671E-2</v>
      </c>
      <c r="J51" s="106">
        <f t="shared" si="31"/>
        <v>-3.4679391748192262E-2</v>
      </c>
      <c r="K51" s="106">
        <f t="shared" si="31"/>
        <v>-3.4017971758664958E-2</v>
      </c>
      <c r="L51" s="82">
        <v>-3.3000000000000002E-2</v>
      </c>
      <c r="M51" s="82">
        <f>L51+0.1%</f>
        <v>-3.2000000000000001E-2</v>
      </c>
      <c r="N51" s="82">
        <f t="shared" ref="N51:R51" si="32">M51+0.1%</f>
        <v>-3.1E-2</v>
      </c>
      <c r="O51" s="82">
        <f t="shared" si="32"/>
        <v>-0.03</v>
      </c>
      <c r="P51" s="82">
        <f t="shared" si="32"/>
        <v>-2.8999999999999998E-2</v>
      </c>
      <c r="Q51" s="82">
        <f t="shared" si="32"/>
        <v>-2.7999999999999997E-2</v>
      </c>
      <c r="R51" s="82">
        <f t="shared" si="32"/>
        <v>-2.6999999999999996E-2</v>
      </c>
    </row>
    <row r="52" spans="1:86" x14ac:dyDescent="0.25">
      <c r="A52" s="1"/>
      <c r="B52" s="1"/>
      <c r="C52" s="1"/>
      <c r="D52" s="1"/>
      <c r="E52" s="1"/>
      <c r="G52" s="1"/>
      <c r="H52" s="1"/>
      <c r="I52" s="83"/>
      <c r="J52" s="107"/>
      <c r="K52" s="107"/>
      <c r="L52" s="107"/>
      <c r="M52" s="107"/>
      <c r="N52" s="107"/>
      <c r="O52" s="107"/>
      <c r="P52" s="107"/>
      <c r="Q52" s="107"/>
      <c r="R52" s="107"/>
    </row>
    <row r="53" spans="1:86" x14ac:dyDescent="0.25">
      <c r="A53" s="1"/>
      <c r="B53" s="1" t="s">
        <v>24</v>
      </c>
      <c r="C53" s="21">
        <f>SUM(Sheet2!K17:K23)</f>
        <v>-2300</v>
      </c>
      <c r="D53" s="21">
        <f>SUM(Sheet2!L17:L23)</f>
        <v>4742</v>
      </c>
      <c r="E53" s="21">
        <f>SUM(Sheet2!M17:M23)</f>
        <v>-24164</v>
      </c>
      <c r="F53" s="2">
        <f>SUM(Sheet2!D17:D23)</f>
        <v>-14879</v>
      </c>
      <c r="G53" s="2">
        <f>SUM(Sheet2!E17:E23)</f>
        <v>-41197</v>
      </c>
      <c r="H53" s="2">
        <f>SUM(Sheet2!F17:F23)</f>
        <v>-131311</v>
      </c>
      <c r="I53" s="80">
        <f t="shared" ref="I53:R53" si="33">I54*I11</f>
        <v>-58611.200000000004</v>
      </c>
      <c r="J53" s="105">
        <f t="shared" si="33"/>
        <v>-22569.599999999999</v>
      </c>
      <c r="K53" s="105">
        <f t="shared" si="33"/>
        <v>-15580</v>
      </c>
      <c r="L53" s="105">
        <f t="shared" si="33"/>
        <v>-7945.8</v>
      </c>
      <c r="M53" s="105">
        <f t="shared" si="33"/>
        <v>-8104.7160000000003</v>
      </c>
      <c r="N53" s="105">
        <f t="shared" si="33"/>
        <v>-8266.8103200000005</v>
      </c>
      <c r="O53" s="105">
        <f t="shared" si="33"/>
        <v>-8432.1465263999999</v>
      </c>
      <c r="P53" s="105">
        <f t="shared" si="33"/>
        <v>-8600.7894569279997</v>
      </c>
      <c r="Q53" s="105">
        <f t="shared" si="33"/>
        <v>-8772.8052460665604</v>
      </c>
      <c r="R53" s="105">
        <f t="shared" si="33"/>
        <v>-8948.261350987892</v>
      </c>
    </row>
    <row r="54" spans="1:86" x14ac:dyDescent="0.25">
      <c r="A54" s="1"/>
      <c r="B54" s="72" t="s">
        <v>18</v>
      </c>
      <c r="C54" s="73">
        <f t="shared" ref="C54:H54" si="34">C53/C11</f>
        <v>-4.6884714563819267E-3</v>
      </c>
      <c r="D54" s="73">
        <f t="shared" si="34"/>
        <v>8.7126195183255314E-3</v>
      </c>
      <c r="E54" s="73">
        <f t="shared" si="34"/>
        <v>-4.2964409097132207E-2</v>
      </c>
      <c r="F54" s="73">
        <f t="shared" si="34"/>
        <v>-2.5040011174519403E-2</v>
      </c>
      <c r="G54" s="73">
        <f t="shared" si="34"/>
        <v>-5.4808681156547384E-2</v>
      </c>
      <c r="H54" s="73">
        <f t="shared" si="34"/>
        <v>-0.17664642062002678</v>
      </c>
      <c r="I54" s="93">
        <v>-0.08</v>
      </c>
      <c r="J54" s="112">
        <v>-0.03</v>
      </c>
      <c r="K54" s="112">
        <v>-0.02</v>
      </c>
      <c r="L54" s="112">
        <v>-0.01</v>
      </c>
      <c r="M54" s="112">
        <v>-0.01</v>
      </c>
      <c r="N54" s="112">
        <v>-0.01</v>
      </c>
      <c r="O54" s="112">
        <v>-0.01</v>
      </c>
      <c r="P54" s="112">
        <v>-0.01</v>
      </c>
      <c r="Q54" s="112">
        <v>-0.01</v>
      </c>
      <c r="R54" s="112">
        <v>-0.01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83"/>
      <c r="J55" s="107"/>
      <c r="K55" s="107"/>
      <c r="L55" s="107"/>
      <c r="M55" s="107"/>
      <c r="N55" s="107"/>
      <c r="O55" s="107"/>
      <c r="P55" s="107"/>
      <c r="Q55" s="107"/>
      <c r="R55" s="107"/>
    </row>
    <row r="56" spans="1:86" x14ac:dyDescent="0.25">
      <c r="A56" s="1"/>
      <c r="B56" s="10" t="s">
        <v>25</v>
      </c>
      <c r="C56" s="12">
        <f>C40-C43</f>
        <v>32538</v>
      </c>
      <c r="D56" s="12">
        <f t="shared" ref="D56:G56" si="35">D40-D43</f>
        <v>35584</v>
      </c>
      <c r="E56" s="12">
        <f t="shared" si="35"/>
        <v>48680</v>
      </c>
      <c r="F56" s="12">
        <f t="shared" si="35"/>
        <v>52601</v>
      </c>
      <c r="G56" s="12">
        <f t="shared" si="35"/>
        <v>81742</v>
      </c>
      <c r="H56" s="12">
        <f>H40-H43</f>
        <v>51913</v>
      </c>
      <c r="I56" s="86">
        <f t="shared" ref="I56:R56" si="36">I40-I43</f>
        <v>47871.119999999995</v>
      </c>
      <c r="J56" s="109">
        <f t="shared" si="36"/>
        <v>53081.600000000006</v>
      </c>
      <c r="K56" s="109">
        <f t="shared" si="36"/>
        <v>58248</v>
      </c>
      <c r="L56" s="109">
        <f t="shared" si="36"/>
        <v>60588.938399999999</v>
      </c>
      <c r="M56" s="109">
        <f t="shared" si="36"/>
        <v>63000.215136000013</v>
      </c>
      <c r="N56" s="109">
        <f t="shared" si="36"/>
        <v>65483.707366080009</v>
      </c>
      <c r="O56" s="109">
        <f t="shared" si="36"/>
        <v>68041.339199308815</v>
      </c>
      <c r="P56" s="109">
        <f t="shared" si="36"/>
        <v>70675.082822920333</v>
      </c>
      <c r="Q56" s="109">
        <f t="shared" si="36"/>
        <v>73386.959655796585</v>
      </c>
      <c r="R56" s="109">
        <f t="shared" si="36"/>
        <v>76179.041528858739</v>
      </c>
    </row>
    <row r="57" spans="1:86" x14ac:dyDescent="0.25">
      <c r="A57" s="1"/>
      <c r="B57" s="10" t="s">
        <v>56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86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09">
        <v>0</v>
      </c>
      <c r="P57" s="109">
        <v>0</v>
      </c>
      <c r="Q57" s="109">
        <v>0</v>
      </c>
      <c r="R57" s="109">
        <v>0</v>
      </c>
    </row>
    <row r="58" spans="1:86" x14ac:dyDescent="0.25">
      <c r="A58" s="1"/>
      <c r="B58" s="10" t="s">
        <v>26</v>
      </c>
      <c r="C58" s="12">
        <f>C38-C43+C57</f>
        <v>35157</v>
      </c>
      <c r="D58" s="12">
        <f t="shared" ref="D58:H58" si="37">D38-D43+D57</f>
        <v>40669</v>
      </c>
      <c r="E58" s="12">
        <f t="shared" si="37"/>
        <v>51413</v>
      </c>
      <c r="F58" s="12">
        <f t="shared" si="37"/>
        <v>55233</v>
      </c>
      <c r="G58" s="12">
        <f t="shared" si="37"/>
        <v>83381</v>
      </c>
      <c r="H58" s="12">
        <f t="shared" si="37"/>
        <v>44491</v>
      </c>
      <c r="I58" s="86">
        <f>I38-I43+I57</f>
        <v>42010</v>
      </c>
      <c r="J58" s="109">
        <f t="shared" ref="J58:R58" si="38">J38-J43+J57</f>
        <v>49320</v>
      </c>
      <c r="K58" s="109">
        <f t="shared" si="38"/>
        <v>56690</v>
      </c>
      <c r="L58" s="109">
        <f t="shared" si="38"/>
        <v>62972.678400000004</v>
      </c>
      <c r="M58" s="109">
        <f t="shared" si="38"/>
        <v>67052.57313600005</v>
      </c>
      <c r="N58" s="109">
        <f t="shared" si="38"/>
        <v>69617.112526080018</v>
      </c>
      <c r="O58" s="109">
        <f t="shared" si="38"/>
        <v>72257.412462508815</v>
      </c>
      <c r="P58" s="109">
        <f t="shared" si="38"/>
        <v>74975.477551384334</v>
      </c>
      <c r="Q58" s="109">
        <f t="shared" si="38"/>
        <v>77773.362278829882</v>
      </c>
      <c r="R58" s="109">
        <f t="shared" si="38"/>
        <v>80653.172204352682</v>
      </c>
      <c r="S58" s="58">
        <f>R58*(1+$E$6)</f>
        <v>82266.235648439731</v>
      </c>
      <c r="T58" s="58">
        <f t="shared" ref="T58:CE58" si="39">S58*(1+$E$6)</f>
        <v>83911.560361408527</v>
      </c>
      <c r="U58" s="58">
        <f t="shared" si="39"/>
        <v>85589.791568636705</v>
      </c>
      <c r="V58" s="58">
        <f t="shared" si="39"/>
        <v>87301.587400009434</v>
      </c>
      <c r="W58" s="58">
        <f t="shared" si="39"/>
        <v>89047.619148009617</v>
      </c>
      <c r="X58" s="58">
        <f t="shared" si="39"/>
        <v>90828.571530969813</v>
      </c>
      <c r="Y58" s="58">
        <f t="shared" si="39"/>
        <v>92645.142961589212</v>
      </c>
      <c r="Z58" s="58">
        <f t="shared" si="39"/>
        <v>94498.045820821004</v>
      </c>
      <c r="AA58" s="58">
        <f t="shared" si="39"/>
        <v>96388.006737237432</v>
      </c>
      <c r="AB58" s="58">
        <f t="shared" si="39"/>
        <v>98315.766871982181</v>
      </c>
      <c r="AC58" s="58">
        <f t="shared" si="39"/>
        <v>100282.08220942183</v>
      </c>
      <c r="AD58" s="58">
        <f t="shared" si="39"/>
        <v>102287.72385361027</v>
      </c>
      <c r="AE58" s="58">
        <f t="shared" si="39"/>
        <v>104333.47833068247</v>
      </c>
      <c r="AF58" s="58">
        <f t="shared" si="39"/>
        <v>106420.14789729612</v>
      </c>
      <c r="AG58" s="58">
        <f t="shared" si="39"/>
        <v>108548.55085524205</v>
      </c>
      <c r="AH58" s="58">
        <f t="shared" si="39"/>
        <v>110719.5218723469</v>
      </c>
      <c r="AI58" s="58">
        <f t="shared" si="39"/>
        <v>112933.91230979384</v>
      </c>
      <c r="AJ58" s="58">
        <f t="shared" si="39"/>
        <v>115192.59055598972</v>
      </c>
      <c r="AK58" s="58">
        <f t="shared" si="39"/>
        <v>117496.44236710951</v>
      </c>
      <c r="AL58" s="58">
        <f t="shared" si="39"/>
        <v>119846.3712144517</v>
      </c>
      <c r="AM58" s="58">
        <f t="shared" si="39"/>
        <v>122243.29863874074</v>
      </c>
      <c r="AN58" s="58">
        <f t="shared" si="39"/>
        <v>124688.16461151556</v>
      </c>
      <c r="AO58" s="58">
        <f t="shared" si="39"/>
        <v>127181.92790374588</v>
      </c>
      <c r="AP58" s="58">
        <f t="shared" si="39"/>
        <v>129725.5664618208</v>
      </c>
      <c r="AQ58" s="58">
        <f t="shared" si="39"/>
        <v>132320.07779105721</v>
      </c>
      <c r="AR58" s="58">
        <f t="shared" si="39"/>
        <v>134966.47934687836</v>
      </c>
      <c r="AS58" s="58">
        <f t="shared" si="39"/>
        <v>137665.80893381592</v>
      </c>
      <c r="AT58" s="58">
        <f t="shared" si="39"/>
        <v>140419.12511249224</v>
      </c>
      <c r="AU58" s="58">
        <f t="shared" si="39"/>
        <v>143227.50761474209</v>
      </c>
      <c r="AV58" s="58">
        <f t="shared" si="39"/>
        <v>146092.05776703692</v>
      </c>
      <c r="AW58" s="58">
        <f t="shared" si="39"/>
        <v>149013.89892237767</v>
      </c>
      <c r="AX58" s="58">
        <f t="shared" si="39"/>
        <v>151994.17690082523</v>
      </c>
      <c r="AY58" s="58">
        <f t="shared" si="39"/>
        <v>155034.06043884173</v>
      </c>
      <c r="AZ58" s="58">
        <f t="shared" si="39"/>
        <v>158134.74164761856</v>
      </c>
      <c r="BA58" s="58">
        <f t="shared" si="39"/>
        <v>161297.43648057093</v>
      </c>
      <c r="BB58" s="58">
        <f t="shared" si="39"/>
        <v>164523.38521018234</v>
      </c>
      <c r="BC58" s="58">
        <f t="shared" si="39"/>
        <v>167813.85291438599</v>
      </c>
      <c r="BD58" s="58">
        <f t="shared" si="39"/>
        <v>171170.12997267372</v>
      </c>
      <c r="BE58" s="58">
        <f t="shared" si="39"/>
        <v>174593.53257212721</v>
      </c>
      <c r="BF58" s="58">
        <f t="shared" si="39"/>
        <v>178085.40322356977</v>
      </c>
      <c r="BG58" s="58">
        <f t="shared" si="39"/>
        <v>181647.11128804117</v>
      </c>
      <c r="BH58" s="58">
        <f t="shared" si="39"/>
        <v>185280.05351380201</v>
      </c>
      <c r="BI58" s="58">
        <f t="shared" si="39"/>
        <v>188985.65458407806</v>
      </c>
      <c r="BJ58" s="58">
        <f t="shared" si="39"/>
        <v>192765.36767575963</v>
      </c>
      <c r="BK58" s="58">
        <f t="shared" si="39"/>
        <v>196620.67502927483</v>
      </c>
      <c r="BL58" s="58">
        <f t="shared" si="39"/>
        <v>200553.08852986034</v>
      </c>
      <c r="BM58" s="58">
        <f t="shared" si="39"/>
        <v>204564.15030045755</v>
      </c>
      <c r="BN58" s="58">
        <f t="shared" si="39"/>
        <v>208655.4333064667</v>
      </c>
      <c r="BO58" s="58">
        <f t="shared" si="39"/>
        <v>212828.54197259605</v>
      </c>
      <c r="BP58" s="58">
        <f t="shared" si="39"/>
        <v>217085.11281204797</v>
      </c>
      <c r="BQ58" s="58">
        <f t="shared" si="39"/>
        <v>221426.81506828894</v>
      </c>
      <c r="BR58" s="58">
        <f t="shared" si="39"/>
        <v>225855.35136965473</v>
      </c>
      <c r="BS58" s="58">
        <f t="shared" si="39"/>
        <v>230372.45839704783</v>
      </c>
      <c r="BT58" s="58">
        <f t="shared" si="39"/>
        <v>234979.9075649888</v>
      </c>
      <c r="BU58" s="58">
        <f t="shared" si="39"/>
        <v>239679.50571628858</v>
      </c>
      <c r="BV58" s="58">
        <f t="shared" si="39"/>
        <v>244473.09583061436</v>
      </c>
      <c r="BW58" s="58">
        <f t="shared" si="39"/>
        <v>249362.55774722665</v>
      </c>
      <c r="BX58" s="58">
        <f t="shared" si="39"/>
        <v>254349.80890217118</v>
      </c>
      <c r="BY58" s="58">
        <f t="shared" si="39"/>
        <v>259436.8050802146</v>
      </c>
      <c r="BZ58" s="58">
        <f t="shared" si="39"/>
        <v>264625.54118181887</v>
      </c>
      <c r="CA58" s="58">
        <f t="shared" si="39"/>
        <v>269918.05200545525</v>
      </c>
      <c r="CB58" s="58">
        <f t="shared" si="39"/>
        <v>275316.41304556438</v>
      </c>
      <c r="CC58" s="58">
        <f t="shared" si="39"/>
        <v>280822.74130647565</v>
      </c>
      <c r="CD58" s="58">
        <f t="shared" si="39"/>
        <v>286439.1961326052</v>
      </c>
      <c r="CE58" s="58">
        <f t="shared" si="39"/>
        <v>292167.98005525733</v>
      </c>
      <c r="CF58" s="58">
        <f t="shared" ref="CF58:CH58" si="40">CE58*(1+$E$6)</f>
        <v>298011.33965636248</v>
      </c>
      <c r="CG58" s="58">
        <f t="shared" si="40"/>
        <v>303971.56644948974</v>
      </c>
      <c r="CH58" s="58">
        <f t="shared" si="40"/>
        <v>310050.99777847953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83"/>
      <c r="J59" s="107"/>
      <c r="K59" s="107"/>
      <c r="L59" s="107"/>
      <c r="M59" s="107"/>
      <c r="N59" s="107"/>
      <c r="O59" s="107"/>
      <c r="P59" s="107"/>
      <c r="Q59" s="107"/>
      <c r="R59" s="107"/>
    </row>
    <row r="60" spans="1:86" x14ac:dyDescent="0.25">
      <c r="A60" s="1"/>
      <c r="B60" s="10" t="s">
        <v>27</v>
      </c>
      <c r="C60" s="12">
        <f>C56+C47+C50-C53</f>
        <v>36305</v>
      </c>
      <c r="D60" s="12">
        <f t="shared" ref="D60:R60" si="41">D56+D47+D50-D53</f>
        <v>24795</v>
      </c>
      <c r="E60" s="12">
        <f t="shared" si="41"/>
        <v>70022</v>
      </c>
      <c r="F60" s="12">
        <f t="shared" si="41"/>
        <v>66806</v>
      </c>
      <c r="G60" s="12">
        <f>G56+G47+G50-G53</f>
        <v>114931</v>
      </c>
      <c r="H60" s="12">
        <f t="shared" si="41"/>
        <v>165768</v>
      </c>
      <c r="I60" s="86">
        <f t="shared" si="41"/>
        <v>95369.163928571419</v>
      </c>
      <c r="J60" s="109">
        <f t="shared" si="41"/>
        <v>63102.96</v>
      </c>
      <c r="K60" s="109">
        <f t="shared" si="41"/>
        <v>61350</v>
      </c>
      <c r="L60" s="109">
        <f t="shared" si="41"/>
        <v>55821.458400000003</v>
      </c>
      <c r="M60" s="109">
        <f t="shared" si="41"/>
        <v>58947.857136000021</v>
      </c>
      <c r="N60" s="109">
        <f t="shared" si="41"/>
        <v>61350.302206080014</v>
      </c>
      <c r="O60" s="109">
        <f t="shared" si="41"/>
        <v>64668.480588748818</v>
      </c>
      <c r="P60" s="109">
        <f t="shared" si="41"/>
        <v>68094.845985841923</v>
      </c>
      <c r="Q60" s="109">
        <f t="shared" si="41"/>
        <v>71632.398606583287</v>
      </c>
      <c r="R60" s="109">
        <f t="shared" si="41"/>
        <v>75284.215393759951</v>
      </c>
    </row>
    <row r="61" spans="1:86" x14ac:dyDescent="0.25">
      <c r="A61" s="1"/>
      <c r="B61" s="22" t="s">
        <v>28</v>
      </c>
      <c r="C61" s="1"/>
      <c r="D61" s="1"/>
      <c r="E61" s="1"/>
      <c r="F61" s="1"/>
      <c r="G61" s="1"/>
      <c r="H61" s="1"/>
      <c r="I61" s="60">
        <f t="shared" ref="I61:R61" si="42">I60/((1+$E$5)^I9)</f>
        <v>88005.394660646984</v>
      </c>
      <c r="J61" s="59">
        <f t="shared" si="42"/>
        <v>53734.395863748563</v>
      </c>
      <c r="K61" s="59">
        <f t="shared" si="42"/>
        <v>48207.934659885155</v>
      </c>
      <c r="L61" s="59">
        <f t="shared" si="42"/>
        <v>40476.826658032536</v>
      </c>
      <c r="M61" s="59">
        <f t="shared" si="42"/>
        <v>39443.425084353192</v>
      </c>
      <c r="N61" s="59">
        <f t="shared" si="42"/>
        <v>37881.278110316678</v>
      </c>
      <c r="O61" s="59">
        <f t="shared" si="42"/>
        <v>36846.979603984517</v>
      </c>
      <c r="P61" s="59">
        <f t="shared" si="42"/>
        <v>35803.443509607278</v>
      </c>
      <c r="Q61" s="59">
        <f t="shared" si="42"/>
        <v>34755.326251158222</v>
      </c>
      <c r="R61" s="59">
        <f t="shared" si="42"/>
        <v>33706.768944534502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4">
        <f>(R60*(1+$E$6))/($E$5-$E$6)</f>
        <v>1205983.9053964643</v>
      </c>
      <c r="D63" s="1"/>
      <c r="E63" s="1" t="s">
        <v>30</v>
      </c>
      <c r="F63" s="19">
        <f>NPV($E$5,I58:CH58)</f>
        <v>982302.48682996433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5">
        <f>C63/((1+$E$5)^$R$9)</f>
        <v>539951.44450154284</v>
      </c>
      <c r="D64" s="17"/>
      <c r="E64" s="3"/>
      <c r="F64" s="3"/>
      <c r="G64" s="3"/>
      <c r="H64" s="17"/>
      <c r="I64" s="13"/>
      <c r="J64" s="1"/>
      <c r="L64" s="48" t="s">
        <v>52</v>
      </c>
      <c r="M64" s="49"/>
      <c r="N64" s="49"/>
      <c r="O64" s="49"/>
      <c r="P64" s="49"/>
      <c r="Q64" s="48"/>
    </row>
    <row r="65" spans="1:17" x14ac:dyDescent="0.25">
      <c r="A65" s="1"/>
      <c r="B65" s="6" t="s">
        <v>32</v>
      </c>
      <c r="C65" s="6"/>
      <c r="D65" s="1"/>
      <c r="E65" s="6"/>
      <c r="F65" s="6"/>
      <c r="G65" s="26" t="s">
        <v>33</v>
      </c>
      <c r="H65" s="26" t="s">
        <v>30</v>
      </c>
      <c r="I65" s="16"/>
      <c r="J65" s="1"/>
      <c r="K65" s="48"/>
      <c r="L65" s="50">
        <f>D71</f>
        <v>104.75740854226154</v>
      </c>
      <c r="M65" s="51">
        <v>-0.01</v>
      </c>
      <c r="N65" s="51">
        <v>0.01</v>
      </c>
      <c r="O65" s="51">
        <v>0.02</v>
      </c>
      <c r="P65" s="51">
        <v>0.03</v>
      </c>
      <c r="Q65" s="51">
        <v>0.04</v>
      </c>
    </row>
    <row r="66" spans="1:17" x14ac:dyDescent="0.25">
      <c r="A66" s="1"/>
      <c r="B66" s="27" t="s">
        <v>34</v>
      </c>
      <c r="C66" s="1"/>
      <c r="D66" s="34">
        <f>122596+26651</f>
        <v>149247</v>
      </c>
      <c r="E66" s="1"/>
      <c r="F66" s="1"/>
      <c r="G66" s="24">
        <f>C64+SUM(I61:R61)</f>
        <v>988813.21784781048</v>
      </c>
      <c r="H66" s="19">
        <f>F63</f>
        <v>982302.48682996433</v>
      </c>
      <c r="I66" s="16"/>
      <c r="J66" s="1"/>
      <c r="K66" s="48"/>
      <c r="L66" s="52">
        <f>L67-1%</f>
        <v>6.3674066758287851E-2</v>
      </c>
      <c r="M66" s="53">
        <f t="dataTable" ref="M66:Q70" dt2D="1" dtr="1" r1="E6" r2="E5"/>
        <v>109.78800614341114</v>
      </c>
      <c r="N66" s="53">
        <v>130.89503421868761</v>
      </c>
      <c r="O66" s="53">
        <v>147.828180387315</v>
      </c>
      <c r="P66" s="53">
        <v>173.08321587332043</v>
      </c>
      <c r="Q66" s="53">
        <v>214.93189357580763</v>
      </c>
    </row>
    <row r="67" spans="1:17" x14ac:dyDescent="0.25">
      <c r="A67" s="1"/>
      <c r="B67" s="28" t="s">
        <v>35</v>
      </c>
      <c r="C67" s="3"/>
      <c r="D67" s="29">
        <f>106670-45728</f>
        <v>60942</v>
      </c>
      <c r="E67" s="3"/>
      <c r="F67" s="3"/>
      <c r="G67" s="3"/>
      <c r="H67" s="3"/>
      <c r="I67" s="16"/>
      <c r="J67" s="1"/>
      <c r="K67" s="49"/>
      <c r="L67" s="52">
        <f>L68-1%</f>
        <v>7.3674066758287846E-2</v>
      </c>
      <c r="M67" s="53">
        <v>96.806989780657347</v>
      </c>
      <c r="N67" s="54">
        <v>111.47756566365453</v>
      </c>
      <c r="O67" s="54">
        <v>122.5717101374631</v>
      </c>
      <c r="P67" s="54">
        <v>138.10146405386627</v>
      </c>
      <c r="Q67" s="53">
        <v>161.24802148562284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0">
        <f>(G66+D66-D67)</f>
        <v>1077118.2178478106</v>
      </c>
      <c r="H68" s="31">
        <f>(H66+D66-D67)</f>
        <v>1070607.4868299644</v>
      </c>
      <c r="I68" s="16"/>
      <c r="J68"/>
      <c r="K68" s="48" t="s">
        <v>1</v>
      </c>
      <c r="L68" s="55">
        <v>8.3674066758287841E-2</v>
      </c>
      <c r="M68" s="53">
        <v>86.615735637228269</v>
      </c>
      <c r="N68" s="54">
        <v>97.148945698785724</v>
      </c>
      <c r="O68" s="56">
        <v>104.75740854226154</v>
      </c>
      <c r="P68" s="54">
        <v>114.94633692308079</v>
      </c>
      <c r="Q68" s="53">
        <v>129.20001398004308</v>
      </c>
    </row>
    <row r="69" spans="1:17" x14ac:dyDescent="0.25">
      <c r="A69" s="1"/>
      <c r="B69" s="3" t="s">
        <v>37</v>
      </c>
      <c r="C69" s="3"/>
      <c r="D69" s="34">
        <f>(9043151+1207798)/1000</f>
        <v>10250.949000000001</v>
      </c>
      <c r="E69" s="3"/>
      <c r="F69" s="3"/>
      <c r="G69" s="3"/>
      <c r="H69" s="3"/>
      <c r="I69" s="16"/>
      <c r="J69" s="1"/>
      <c r="K69" s="48"/>
      <c r="L69" s="57">
        <f>L68+1%</f>
        <v>9.3674066758287836E-2</v>
      </c>
      <c r="M69" s="53">
        <v>78.424005547783196</v>
      </c>
      <c r="N69" s="54">
        <v>86.188151204688722</v>
      </c>
      <c r="O69" s="54">
        <v>91.592107060482448</v>
      </c>
      <c r="P69" s="54">
        <v>98.588611725596479</v>
      </c>
      <c r="Q69" s="53">
        <v>107.95321570636997</v>
      </c>
    </row>
    <row r="70" spans="1:17" x14ac:dyDescent="0.25">
      <c r="A70" s="1"/>
      <c r="B70" s="18" t="s">
        <v>38</v>
      </c>
      <c r="C70" s="18"/>
      <c r="D70" s="18">
        <f>D69*$J$5</f>
        <v>577435.95717000007</v>
      </c>
      <c r="E70" s="18"/>
      <c r="F70" s="18"/>
      <c r="G70" s="18"/>
      <c r="H70" s="32"/>
      <c r="I70" s="1"/>
      <c r="J70" s="1"/>
      <c r="K70" s="48"/>
      <c r="L70" s="57">
        <f>L69+1%</f>
        <v>0.10367406675828783</v>
      </c>
      <c r="M70" s="53">
        <v>71.709569872438067</v>
      </c>
      <c r="N70" s="53">
        <v>77.558912318292656</v>
      </c>
      <c r="O70" s="53">
        <v>81.506682512282083</v>
      </c>
      <c r="P70" s="53">
        <v>86.481591491971784</v>
      </c>
      <c r="Q70" s="53">
        <v>92.920090789260712</v>
      </c>
    </row>
    <row r="71" spans="1:17" x14ac:dyDescent="0.25">
      <c r="A71" s="1"/>
      <c r="B71" s="6" t="s">
        <v>39</v>
      </c>
      <c r="C71" s="6" t="s">
        <v>40</v>
      </c>
      <c r="D71" s="33">
        <f>(G71+H71)/2</f>
        <v>104.75740854226154</v>
      </c>
      <c r="F71" s="6"/>
      <c r="G71" s="33">
        <f>G68/D69</f>
        <v>105.07497577519999</v>
      </c>
      <c r="H71" s="33">
        <f>H68/D69</f>
        <v>104.4398413093231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D251-847D-49EB-A1B7-0EBCA935B3CF}">
  <dimension ref="A1:M20"/>
  <sheetViews>
    <sheetView topLeftCell="A4" workbookViewId="0">
      <selection activeCell="K19" sqref="K19"/>
    </sheetView>
  </sheetViews>
  <sheetFormatPr defaultRowHeight="15" x14ac:dyDescent="0.25"/>
  <cols>
    <col min="1" max="1" width="33.85546875" customWidth="1"/>
    <col min="4" max="6" width="12" customWidth="1"/>
    <col min="11" max="13" width="12.42578125" customWidth="1"/>
  </cols>
  <sheetData>
    <row r="1" spans="1:13" ht="15" customHeight="1" x14ac:dyDescent="0.25">
      <c r="A1" s="95" t="s">
        <v>65</v>
      </c>
      <c r="B1" s="95"/>
      <c r="C1" s="95"/>
      <c r="D1" s="94">
        <v>2020</v>
      </c>
      <c r="E1" s="94">
        <v>2021</v>
      </c>
      <c r="F1" s="94">
        <v>2022</v>
      </c>
      <c r="G1" s="94"/>
      <c r="J1" s="97" t="s">
        <v>111</v>
      </c>
      <c r="K1" s="97"/>
      <c r="L1" s="97"/>
      <c r="M1" s="97"/>
    </row>
    <row r="2" spans="1:13" ht="15" customHeight="1" x14ac:dyDescent="0.25">
      <c r="A2" s="95" t="s">
        <v>66</v>
      </c>
      <c r="B2" s="95"/>
      <c r="C2" s="95"/>
      <c r="D2" s="96">
        <v>594209</v>
      </c>
      <c r="E2" s="96">
        <v>751651</v>
      </c>
      <c r="F2" s="96">
        <v>743355</v>
      </c>
      <c r="G2" s="96"/>
      <c r="H2" t="s">
        <v>65</v>
      </c>
      <c r="K2" s="101">
        <v>2017</v>
      </c>
      <c r="L2" s="101">
        <v>2018</v>
      </c>
      <c r="M2" s="101">
        <v>2019</v>
      </c>
    </row>
    <row r="3" spans="1:13" x14ac:dyDescent="0.25">
      <c r="A3" s="95" t="s">
        <v>67</v>
      </c>
      <c r="B3" s="95"/>
      <c r="C3" s="95"/>
      <c r="D3" s="98">
        <v>329216</v>
      </c>
      <c r="E3" s="98">
        <v>417526</v>
      </c>
      <c r="F3" s="98">
        <v>472023</v>
      </c>
      <c r="G3" s="98"/>
      <c r="H3" t="s">
        <v>66</v>
      </c>
      <c r="K3" s="102">
        <v>490565</v>
      </c>
      <c r="L3" s="102">
        <v>544268</v>
      </c>
      <c r="M3" s="102">
        <v>562419</v>
      </c>
    </row>
    <row r="4" spans="1:13" x14ac:dyDescent="0.25">
      <c r="A4" s="95" t="s">
        <v>59</v>
      </c>
      <c r="B4" s="95"/>
      <c r="C4" s="95"/>
      <c r="D4" s="98">
        <v>264993</v>
      </c>
      <c r="E4" s="98">
        <v>334125</v>
      </c>
      <c r="F4" s="98">
        <v>271332</v>
      </c>
      <c r="G4" s="98"/>
      <c r="H4" t="s">
        <v>67</v>
      </c>
      <c r="J4" s="97"/>
      <c r="K4" s="34">
        <v>279625</v>
      </c>
      <c r="L4" s="103">
        <v>302408</v>
      </c>
      <c r="M4" s="103">
        <v>312663</v>
      </c>
    </row>
    <row r="5" spans="1:13" x14ac:dyDescent="0.25">
      <c r="A5" s="95" t="s">
        <v>60</v>
      </c>
      <c r="B5" s="95"/>
      <c r="C5" s="95"/>
      <c r="D5" s="95"/>
      <c r="E5" s="95"/>
      <c r="F5" s="95"/>
      <c r="G5" s="95"/>
      <c r="H5" t="s">
        <v>59</v>
      </c>
      <c r="J5" s="97"/>
      <c r="K5" s="34">
        <v>210940</v>
      </c>
      <c r="L5" s="103">
        <v>241860</v>
      </c>
      <c r="M5" s="103">
        <v>249756</v>
      </c>
    </row>
    <row r="6" spans="1:13" x14ac:dyDescent="0.25">
      <c r="A6" s="95" t="s">
        <v>68</v>
      </c>
      <c r="B6" s="95"/>
      <c r="C6" s="95"/>
      <c r="D6" s="98">
        <v>121517</v>
      </c>
      <c r="E6" s="98">
        <v>141059</v>
      </c>
      <c r="F6" s="98">
        <v>133891</v>
      </c>
      <c r="G6" s="98"/>
      <c r="H6" t="s">
        <v>60</v>
      </c>
      <c r="J6" s="97"/>
      <c r="L6" s="97"/>
      <c r="M6" s="97"/>
    </row>
    <row r="7" spans="1:13" x14ac:dyDescent="0.25">
      <c r="A7" s="95" t="s">
        <v>69</v>
      </c>
      <c r="B7" s="95"/>
      <c r="C7" s="95"/>
      <c r="D7" s="98">
        <v>47785</v>
      </c>
      <c r="E7" s="98">
        <v>56083</v>
      </c>
      <c r="F7" s="98">
        <v>43419</v>
      </c>
      <c r="G7" s="98"/>
      <c r="H7" t="s">
        <v>68</v>
      </c>
      <c r="J7" s="97"/>
      <c r="K7" s="34">
        <v>100359</v>
      </c>
      <c r="L7" s="103">
        <v>112782</v>
      </c>
      <c r="M7" s="103">
        <v>121480</v>
      </c>
    </row>
    <row r="8" spans="1:13" x14ac:dyDescent="0.25">
      <c r="H8" t="s">
        <v>69</v>
      </c>
      <c r="K8" s="34">
        <v>45824</v>
      </c>
      <c r="L8" s="34">
        <v>45616</v>
      </c>
      <c r="M8" s="34">
        <v>42576</v>
      </c>
    </row>
    <row r="9" spans="1:13" x14ac:dyDescent="0.25">
      <c r="A9" s="95" t="s">
        <v>61</v>
      </c>
      <c r="B9" s="95"/>
      <c r="C9" s="95"/>
      <c r="D9" s="98">
        <v>24621</v>
      </c>
      <c r="E9" s="98">
        <v>25700</v>
      </c>
      <c r="F9" s="98">
        <v>27712</v>
      </c>
      <c r="G9" s="98"/>
      <c r="H9" t="s">
        <v>61</v>
      </c>
      <c r="J9" s="97"/>
      <c r="K9" s="34">
        <v>19166</v>
      </c>
      <c r="L9" s="103">
        <v>20441</v>
      </c>
      <c r="M9" s="103">
        <v>21926</v>
      </c>
    </row>
    <row r="10" spans="1:13" x14ac:dyDescent="0.25">
      <c r="A10" s="95" t="s">
        <v>62</v>
      </c>
      <c r="B10" s="95"/>
      <c r="C10" s="95"/>
      <c r="D10" s="98">
        <v>193923</v>
      </c>
      <c r="E10" s="98">
        <v>222842</v>
      </c>
      <c r="F10" s="98">
        <v>205022</v>
      </c>
      <c r="G10" s="98"/>
      <c r="H10" s="65" t="s">
        <v>62</v>
      </c>
      <c r="J10" s="97"/>
      <c r="K10" s="34">
        <v>165349</v>
      </c>
      <c r="L10" s="103">
        <v>178839</v>
      </c>
      <c r="M10" s="103">
        <v>185982</v>
      </c>
    </row>
    <row r="11" spans="1:13" x14ac:dyDescent="0.25">
      <c r="A11" s="95" t="s">
        <v>70</v>
      </c>
      <c r="B11" s="95"/>
      <c r="C11" s="95"/>
      <c r="D11" s="98">
        <v>71070</v>
      </c>
      <c r="E11" s="98">
        <v>111283</v>
      </c>
      <c r="F11" s="98">
        <v>66310</v>
      </c>
      <c r="G11" s="98"/>
      <c r="H11" t="s">
        <v>70</v>
      </c>
      <c r="J11" s="97"/>
      <c r="K11" s="34">
        <v>45591</v>
      </c>
      <c r="L11" s="103">
        <v>63021</v>
      </c>
      <c r="M11" s="103">
        <v>63774</v>
      </c>
    </row>
    <row r="12" spans="1:13" x14ac:dyDescent="0.25">
      <c r="A12" s="95" t="s">
        <v>71</v>
      </c>
      <c r="B12" s="95"/>
      <c r="C12" s="95"/>
      <c r="D12" s="99">
        <v>-1413</v>
      </c>
      <c r="E12" s="99">
        <v>-366</v>
      </c>
      <c r="F12" s="99">
        <v>-807</v>
      </c>
      <c r="G12" s="99"/>
      <c r="H12" t="s">
        <v>71</v>
      </c>
      <c r="J12" s="97"/>
      <c r="K12" s="66">
        <v>-316</v>
      </c>
      <c r="L12" s="104">
        <v>-1166</v>
      </c>
      <c r="M12" s="104">
        <v>-2109</v>
      </c>
    </row>
    <row r="13" spans="1:13" x14ac:dyDescent="0.25">
      <c r="A13" s="95" t="s">
        <v>72</v>
      </c>
      <c r="B13" s="95"/>
      <c r="C13" s="95"/>
      <c r="D13" s="98">
        <v>143</v>
      </c>
      <c r="E13" s="98">
        <v>145</v>
      </c>
      <c r="F13" s="98">
        <v>153</v>
      </c>
      <c r="G13" s="98"/>
      <c r="H13" t="s">
        <v>72</v>
      </c>
      <c r="J13" s="97"/>
      <c r="K13" s="34">
        <v>757</v>
      </c>
      <c r="L13" s="103">
        <v>203</v>
      </c>
      <c r="M13" s="103">
        <v>172</v>
      </c>
    </row>
    <row r="14" spans="1:13" x14ac:dyDescent="0.25">
      <c r="A14" s="95" t="s">
        <v>73</v>
      </c>
      <c r="B14" s="95"/>
      <c r="C14" s="95"/>
      <c r="D14" s="99">
        <v>-1362</v>
      </c>
      <c r="E14" s="99">
        <v>-1418</v>
      </c>
      <c r="F14" s="98">
        <v>8076</v>
      </c>
      <c r="G14" s="99"/>
      <c r="H14" t="s">
        <v>112</v>
      </c>
      <c r="J14" s="97"/>
      <c r="K14" s="66">
        <v>-3060</v>
      </c>
      <c r="L14" s="104">
        <v>-4122</v>
      </c>
      <c r="M14" s="104">
        <v>-796</v>
      </c>
    </row>
    <row r="15" spans="1:13" x14ac:dyDescent="0.25">
      <c r="A15" s="95" t="s">
        <v>74</v>
      </c>
      <c r="B15" s="95"/>
      <c r="C15" s="95"/>
      <c r="D15" s="98">
        <v>73702</v>
      </c>
      <c r="E15" s="98">
        <v>112922</v>
      </c>
      <c r="F15" s="98">
        <v>58888</v>
      </c>
      <c r="G15" s="98"/>
      <c r="H15" t="s">
        <v>74</v>
      </c>
      <c r="J15" s="97"/>
      <c r="K15" s="34">
        <v>48210</v>
      </c>
      <c r="L15" s="103">
        <v>68106</v>
      </c>
      <c r="M15" s="103">
        <v>66507</v>
      </c>
    </row>
    <row r="16" spans="1:13" x14ac:dyDescent="0.25">
      <c r="A16" s="95" t="s">
        <v>75</v>
      </c>
      <c r="B16" s="95"/>
      <c r="C16" s="95"/>
      <c r="D16" s="98">
        <v>18469</v>
      </c>
      <c r="E16" s="98">
        <v>29541</v>
      </c>
      <c r="F16" s="98">
        <v>14397</v>
      </c>
      <c r="G16" s="98"/>
      <c r="H16" t="s">
        <v>75</v>
      </c>
      <c r="J16" s="97"/>
      <c r="K16" s="34">
        <v>13053</v>
      </c>
      <c r="L16" s="103">
        <v>27437</v>
      </c>
      <c r="M16" s="103">
        <v>15094</v>
      </c>
    </row>
    <row r="17" spans="1:13" x14ac:dyDescent="0.25">
      <c r="A17" s="95" t="s">
        <v>26</v>
      </c>
      <c r="B17" s="95"/>
      <c r="C17" s="95"/>
      <c r="D17" s="96">
        <v>55233</v>
      </c>
      <c r="E17" s="96">
        <v>83381</v>
      </c>
      <c r="F17" s="96">
        <v>44491</v>
      </c>
      <c r="G17" s="96"/>
      <c r="H17" t="s">
        <v>26</v>
      </c>
      <c r="K17" s="102">
        <v>35157</v>
      </c>
      <c r="L17" s="102">
        <v>40669</v>
      </c>
      <c r="M17" s="102">
        <v>51413</v>
      </c>
    </row>
    <row r="20" spans="1:13" x14ac:dyDescent="0.25">
      <c r="K20" s="34">
        <f>K11-K12-K13-K14</f>
        <v>48210</v>
      </c>
    </row>
  </sheetData>
  <sortState xmlns:xlrd2="http://schemas.microsoft.com/office/spreadsheetml/2017/richdata2" columnSort="1" ref="K2:M17">
    <sortCondition ref="K2: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58C-AFF4-464E-87EC-D45A817926A9}">
  <dimension ref="A1:N54"/>
  <sheetViews>
    <sheetView topLeftCell="A10" workbookViewId="0">
      <selection activeCell="E17" sqref="E17"/>
    </sheetView>
  </sheetViews>
  <sheetFormatPr defaultRowHeight="15" x14ac:dyDescent="0.25"/>
  <cols>
    <col min="1" max="1" width="57.7109375" customWidth="1"/>
    <col min="4" max="6" width="12.85546875" customWidth="1"/>
    <col min="8" max="8" width="68.7109375" customWidth="1"/>
  </cols>
  <sheetData>
    <row r="1" spans="1:13" ht="15" customHeight="1" x14ac:dyDescent="0.25">
      <c r="A1" s="100" t="s">
        <v>76</v>
      </c>
      <c r="B1" s="100"/>
      <c r="C1" s="100"/>
      <c r="D1" s="94">
        <v>2020</v>
      </c>
      <c r="E1" s="94">
        <v>2021</v>
      </c>
      <c r="F1" s="94">
        <v>2022</v>
      </c>
      <c r="G1" s="94"/>
      <c r="K1" s="97" t="s">
        <v>111</v>
      </c>
      <c r="L1" s="97"/>
      <c r="M1" s="97"/>
    </row>
    <row r="2" spans="1:13" ht="15" customHeight="1" x14ac:dyDescent="0.25">
      <c r="A2" s="95" t="s">
        <v>77</v>
      </c>
      <c r="B2" s="95"/>
      <c r="C2" s="95"/>
      <c r="D2" s="95"/>
      <c r="E2" s="95"/>
      <c r="F2" s="95"/>
      <c r="G2" s="95"/>
      <c r="H2" t="s">
        <v>76</v>
      </c>
      <c r="K2" s="101">
        <v>2017</v>
      </c>
      <c r="L2" s="101">
        <v>2018</v>
      </c>
      <c r="M2" s="101">
        <v>2019</v>
      </c>
    </row>
    <row r="3" spans="1:13" x14ac:dyDescent="0.25">
      <c r="A3" s="95" t="s">
        <v>26</v>
      </c>
      <c r="B3" s="95"/>
      <c r="C3" s="95"/>
      <c r="D3" s="96">
        <v>55233</v>
      </c>
      <c r="E3" s="96">
        <v>83381</v>
      </c>
      <c r="F3" s="96">
        <v>44491</v>
      </c>
      <c r="G3" s="96"/>
      <c r="H3" t="s">
        <v>113</v>
      </c>
      <c r="K3" s="101"/>
      <c r="L3" s="101"/>
      <c r="M3" s="101"/>
    </row>
    <row r="4" spans="1:13" x14ac:dyDescent="0.25">
      <c r="A4" s="95" t="s">
        <v>63</v>
      </c>
      <c r="B4" s="95"/>
      <c r="C4" s="95"/>
      <c r="D4" s="95"/>
      <c r="E4" s="95"/>
      <c r="F4" s="95"/>
      <c r="G4" s="95"/>
      <c r="H4" t="s">
        <v>26</v>
      </c>
      <c r="K4" s="102">
        <v>35157</v>
      </c>
      <c r="L4" s="102">
        <v>40669</v>
      </c>
      <c r="M4" s="102">
        <v>51413</v>
      </c>
    </row>
    <row r="5" spans="1:13" x14ac:dyDescent="0.25">
      <c r="A5" s="95" t="s">
        <v>78</v>
      </c>
      <c r="B5" s="95"/>
      <c r="C5" s="95"/>
      <c r="D5" s="98">
        <v>12592</v>
      </c>
      <c r="E5" s="98">
        <v>12980</v>
      </c>
      <c r="F5" s="98">
        <v>13973</v>
      </c>
      <c r="G5" s="98"/>
      <c r="H5" t="s">
        <v>63</v>
      </c>
      <c r="J5" s="97"/>
      <c r="L5" s="97"/>
      <c r="M5" s="97"/>
    </row>
    <row r="6" spans="1:13" x14ac:dyDescent="0.25">
      <c r="A6" s="95" t="s">
        <v>79</v>
      </c>
      <c r="B6" s="95"/>
      <c r="C6" s="95"/>
      <c r="D6" s="98">
        <v>2334</v>
      </c>
      <c r="E6" s="98">
        <v>421</v>
      </c>
      <c r="F6" s="98">
        <v>261</v>
      </c>
      <c r="G6" s="98"/>
      <c r="H6" t="s">
        <v>78</v>
      </c>
      <c r="J6" s="97"/>
      <c r="K6" s="34">
        <v>11804</v>
      </c>
      <c r="L6" s="103">
        <v>11994</v>
      </c>
      <c r="M6" s="103">
        <v>12933</v>
      </c>
    </row>
    <row r="7" spans="1:13" x14ac:dyDescent="0.25">
      <c r="A7" s="95" t="s">
        <v>80</v>
      </c>
      <c r="B7" s="95"/>
      <c r="C7" s="95"/>
      <c r="D7" s="98">
        <v>27</v>
      </c>
      <c r="E7" s="98">
        <v>29</v>
      </c>
      <c r="F7" s="98">
        <v>35</v>
      </c>
      <c r="G7" s="98"/>
      <c r="H7" t="s">
        <v>79</v>
      </c>
      <c r="J7" s="97"/>
      <c r="K7" s="34">
        <v>1276</v>
      </c>
      <c r="L7" s="103">
        <v>1111</v>
      </c>
      <c r="M7" s="103">
        <v>1031</v>
      </c>
    </row>
    <row r="8" spans="1:13" x14ac:dyDescent="0.25">
      <c r="A8" s="95" t="s">
        <v>81</v>
      </c>
      <c r="B8" s="95"/>
      <c r="C8" s="95"/>
      <c r="D8" s="98">
        <v>217</v>
      </c>
      <c r="E8" s="98">
        <v>161</v>
      </c>
      <c r="F8" s="98">
        <v>90</v>
      </c>
      <c r="G8" s="98"/>
      <c r="H8" t="s">
        <v>80</v>
      </c>
      <c r="J8" s="97"/>
      <c r="K8" s="34">
        <v>297</v>
      </c>
      <c r="L8" s="103">
        <v>58</v>
      </c>
      <c r="M8" s="103">
        <v>27</v>
      </c>
    </row>
    <row r="9" spans="1:13" x14ac:dyDescent="0.25">
      <c r="A9" s="97"/>
      <c r="B9" s="97"/>
      <c r="C9" s="97"/>
      <c r="H9" t="s">
        <v>114</v>
      </c>
      <c r="K9" s="66">
        <v>-17</v>
      </c>
      <c r="L9" s="66">
        <v>-1134</v>
      </c>
      <c r="M9" s="66">
        <v>-28</v>
      </c>
    </row>
    <row r="10" spans="1:13" x14ac:dyDescent="0.25">
      <c r="A10" s="95" t="s">
        <v>82</v>
      </c>
      <c r="B10" s="95"/>
      <c r="C10" s="95"/>
      <c r="D10" s="98">
        <v>2686</v>
      </c>
      <c r="E10" s="98">
        <v>4160</v>
      </c>
      <c r="F10" s="98">
        <v>4129</v>
      </c>
      <c r="G10" s="98"/>
      <c r="H10" t="s">
        <v>82</v>
      </c>
      <c r="J10" s="97"/>
      <c r="K10" s="34">
        <v>1986</v>
      </c>
      <c r="L10" s="103">
        <v>2297</v>
      </c>
      <c r="M10" s="103">
        <v>2346</v>
      </c>
    </row>
    <row r="11" spans="1:13" x14ac:dyDescent="0.25">
      <c r="A11" s="97"/>
      <c r="B11" s="97"/>
      <c r="C11" s="97"/>
      <c r="H11" t="s">
        <v>115</v>
      </c>
      <c r="K11" s="34">
        <v>64</v>
      </c>
      <c r="L11" s="66">
        <v>-2378</v>
      </c>
      <c r="M11" s="66">
        <v>-761</v>
      </c>
    </row>
    <row r="12" spans="1:13" x14ac:dyDescent="0.25">
      <c r="A12" s="95" t="s">
        <v>83</v>
      </c>
      <c r="B12" s="95"/>
      <c r="C12" s="95"/>
      <c r="D12" s="98">
        <v>2095</v>
      </c>
      <c r="E12" s="98">
        <v>308</v>
      </c>
      <c r="F12" s="98">
        <v>30</v>
      </c>
      <c r="G12" s="98"/>
      <c r="H12" t="s">
        <v>83</v>
      </c>
      <c r="J12" s="97"/>
      <c r="K12" s="34">
        <v>876</v>
      </c>
      <c r="L12" s="103">
        <v>21</v>
      </c>
      <c r="M12" s="103">
        <v>2003</v>
      </c>
    </row>
    <row r="13" spans="1:13" x14ac:dyDescent="0.25">
      <c r="A13" s="95" t="s">
        <v>84</v>
      </c>
      <c r="B13" s="95"/>
      <c r="C13" s="95"/>
      <c r="D13" s="98">
        <v>878</v>
      </c>
      <c r="E13" s="98">
        <v>518</v>
      </c>
      <c r="F13" s="98">
        <v>4409</v>
      </c>
      <c r="G13" s="98"/>
      <c r="H13" t="s">
        <v>84</v>
      </c>
      <c r="J13" s="97"/>
      <c r="K13" s="34">
        <v>1356</v>
      </c>
      <c r="L13" s="103">
        <v>394</v>
      </c>
      <c r="M13" s="103">
        <v>1009</v>
      </c>
    </row>
    <row r="14" spans="1:13" x14ac:dyDescent="0.25">
      <c r="A14" s="95" t="s">
        <v>85</v>
      </c>
      <c r="B14" s="95"/>
      <c r="C14" s="95"/>
      <c r="D14" s="99">
        <v>-176</v>
      </c>
      <c r="E14" s="99">
        <v>-166</v>
      </c>
      <c r="F14" s="99">
        <v>-99</v>
      </c>
      <c r="G14" s="99"/>
      <c r="H14" t="s">
        <v>85</v>
      </c>
      <c r="J14" s="97"/>
      <c r="K14" s="66">
        <v>-1365</v>
      </c>
      <c r="L14" s="104">
        <v>-5188</v>
      </c>
      <c r="M14" s="104">
        <v>-178</v>
      </c>
    </row>
    <row r="15" spans="1:13" x14ac:dyDescent="0.25">
      <c r="A15" s="95" t="s">
        <v>64</v>
      </c>
      <c r="B15" s="95"/>
      <c r="C15" s="95"/>
      <c r="D15" s="98">
        <v>486</v>
      </c>
      <c r="E15" s="99">
        <v>-2277</v>
      </c>
      <c r="F15" s="98">
        <v>1848</v>
      </c>
      <c r="G15" s="98"/>
      <c r="H15" t="s">
        <v>64</v>
      </c>
      <c r="J15" s="97"/>
      <c r="K15" s="66">
        <v>-2784</v>
      </c>
      <c r="L15" s="103">
        <v>10772</v>
      </c>
      <c r="M15" s="103">
        <v>213</v>
      </c>
    </row>
    <row r="16" spans="1:13" x14ac:dyDescent="0.25">
      <c r="A16" s="95" t="s">
        <v>86</v>
      </c>
      <c r="B16" s="95"/>
      <c r="C16" s="95"/>
      <c r="D16" s="95"/>
      <c r="E16" s="95"/>
      <c r="F16" s="95"/>
      <c r="G16" s="95"/>
      <c r="H16" t="s">
        <v>86</v>
      </c>
      <c r="J16" s="97"/>
      <c r="L16" s="97"/>
      <c r="M16" s="97"/>
    </row>
    <row r="17" spans="1:13" x14ac:dyDescent="0.25">
      <c r="A17" s="95" t="s">
        <v>87</v>
      </c>
      <c r="B17" s="95"/>
      <c r="C17" s="95"/>
      <c r="D17" s="99">
        <v>-24625</v>
      </c>
      <c r="E17" s="99">
        <v>-3948</v>
      </c>
      <c r="F17" s="99">
        <v>-22028</v>
      </c>
      <c r="G17" s="99"/>
      <c r="H17" t="s">
        <v>87</v>
      </c>
      <c r="J17" s="97"/>
      <c r="K17" s="66">
        <v>-5364</v>
      </c>
      <c r="L17" s="103">
        <v>5409</v>
      </c>
      <c r="M17" s="104">
        <v>-6104</v>
      </c>
    </row>
    <row r="18" spans="1:13" x14ac:dyDescent="0.25">
      <c r="A18" s="95" t="s">
        <v>88</v>
      </c>
      <c r="B18" s="95"/>
      <c r="C18" s="95"/>
      <c r="D18" s="99">
        <v>-2867</v>
      </c>
      <c r="E18" s="99">
        <v>-69637</v>
      </c>
      <c r="F18" s="99">
        <v>-89259</v>
      </c>
      <c r="G18" s="99"/>
      <c r="H18" t="s">
        <v>88</v>
      </c>
      <c r="J18" s="97"/>
      <c r="K18" s="66">
        <v>-11413</v>
      </c>
      <c r="L18" s="104">
        <v>-10495</v>
      </c>
      <c r="M18" s="104">
        <v>-7356</v>
      </c>
    </row>
    <row r="19" spans="1:13" x14ac:dyDescent="0.25">
      <c r="A19" s="95" t="s">
        <v>89</v>
      </c>
      <c r="B19" s="95"/>
      <c r="C19" s="95"/>
      <c r="D19" s="98">
        <v>10417</v>
      </c>
      <c r="E19" s="98">
        <v>31702</v>
      </c>
      <c r="F19" s="99">
        <v>-21722</v>
      </c>
      <c r="G19" s="98"/>
      <c r="H19" t="s">
        <v>89</v>
      </c>
      <c r="J19" s="97"/>
      <c r="K19" s="34">
        <v>15901</v>
      </c>
      <c r="L19" s="103">
        <v>8432</v>
      </c>
      <c r="M19" s="104">
        <v>-4733</v>
      </c>
    </row>
    <row r="20" spans="1:13" x14ac:dyDescent="0.25">
      <c r="A20" s="95" t="s">
        <v>90</v>
      </c>
      <c r="B20" s="95"/>
      <c r="C20" s="95"/>
      <c r="D20" s="99">
        <v>-12</v>
      </c>
      <c r="E20" s="99">
        <v>-1499</v>
      </c>
      <c r="F20" s="98">
        <v>2831</v>
      </c>
      <c r="G20" s="99"/>
      <c r="H20" t="s">
        <v>90</v>
      </c>
      <c r="J20" s="97"/>
      <c r="K20" s="34">
        <v>193</v>
      </c>
      <c r="L20" s="104">
        <v>-837</v>
      </c>
      <c r="M20" s="104">
        <v>-5983</v>
      </c>
    </row>
    <row r="21" spans="1:13" x14ac:dyDescent="0.25">
      <c r="A21" s="95" t="s">
        <v>91</v>
      </c>
      <c r="B21" s="95"/>
      <c r="C21" s="95"/>
      <c r="D21" s="99">
        <v>-22</v>
      </c>
      <c r="E21" s="99">
        <v>-226</v>
      </c>
      <c r="F21" s="98">
        <v>67</v>
      </c>
      <c r="G21" s="99"/>
      <c r="H21" t="s">
        <v>91</v>
      </c>
      <c r="J21" s="97"/>
      <c r="K21" s="34">
        <v>57</v>
      </c>
      <c r="L21" s="97" t="s">
        <v>57</v>
      </c>
      <c r="M21" s="103">
        <v>198</v>
      </c>
    </row>
    <row r="22" spans="1:13" x14ac:dyDescent="0.25">
      <c r="A22" s="95" t="s">
        <v>92</v>
      </c>
      <c r="B22" s="95"/>
      <c r="C22" s="95"/>
      <c r="D22" s="98">
        <v>1934</v>
      </c>
      <c r="E22" s="98">
        <v>2780</v>
      </c>
      <c r="F22" s="99">
        <v>-2294</v>
      </c>
      <c r="G22" s="98"/>
      <c r="H22" t="s">
        <v>92</v>
      </c>
      <c r="J22" s="97"/>
      <c r="K22" s="66">
        <v>-1034</v>
      </c>
      <c r="L22" s="103">
        <v>1990</v>
      </c>
      <c r="M22" s="104">
        <v>-117</v>
      </c>
    </row>
    <row r="23" spans="1:13" x14ac:dyDescent="0.25">
      <c r="A23" s="95" t="s">
        <v>93</v>
      </c>
      <c r="B23" s="95"/>
      <c r="C23" s="95"/>
      <c r="D23" s="98">
        <v>296</v>
      </c>
      <c r="E23" s="99">
        <v>-369</v>
      </c>
      <c r="F23" s="98">
        <v>1094</v>
      </c>
      <c r="G23" s="98"/>
      <c r="H23" t="s">
        <v>93</v>
      </c>
      <c r="J23" s="97"/>
      <c r="K23" s="66">
        <v>-640</v>
      </c>
      <c r="L23" s="103">
        <v>243</v>
      </c>
      <c r="M23" s="104">
        <v>-69</v>
      </c>
    </row>
    <row r="24" spans="1:13" x14ac:dyDescent="0.25">
      <c r="A24" s="95"/>
      <c r="B24" s="95"/>
      <c r="C24" s="95"/>
      <c r="D24" s="98">
        <v>61493</v>
      </c>
      <c r="E24" s="98">
        <v>58318</v>
      </c>
      <c r="F24" s="99">
        <v>-62144</v>
      </c>
      <c r="G24" s="98"/>
      <c r="J24" s="97"/>
      <c r="K24" s="34">
        <v>46350</v>
      </c>
      <c r="L24" s="103">
        <v>63358</v>
      </c>
      <c r="M24" s="103">
        <v>45844</v>
      </c>
    </row>
    <row r="25" spans="1:13" x14ac:dyDescent="0.25">
      <c r="A25" s="95" t="s">
        <v>94</v>
      </c>
      <c r="B25" s="95"/>
      <c r="C25" s="95"/>
      <c r="D25" s="95"/>
      <c r="E25" s="95"/>
      <c r="F25" s="95"/>
      <c r="G25" s="95"/>
      <c r="H25" t="s">
        <v>116</v>
      </c>
      <c r="J25" s="97"/>
      <c r="L25" s="97"/>
      <c r="M25" s="97"/>
    </row>
    <row r="26" spans="1:13" x14ac:dyDescent="0.25">
      <c r="A26" s="97"/>
      <c r="B26" s="97"/>
      <c r="C26" s="97"/>
      <c r="H26" t="s">
        <v>117</v>
      </c>
      <c r="K26" s="66">
        <v>-46607</v>
      </c>
      <c r="L26" s="66">
        <v>-34789</v>
      </c>
      <c r="M26" s="66">
        <v>-7124</v>
      </c>
    </row>
    <row r="27" spans="1:13" x14ac:dyDescent="0.25">
      <c r="A27" s="97"/>
      <c r="B27" s="97"/>
      <c r="C27" s="97"/>
      <c r="H27" t="s">
        <v>118</v>
      </c>
      <c r="K27" t="s">
        <v>57</v>
      </c>
      <c r="L27" s="34">
        <v>52682</v>
      </c>
      <c r="M27" s="34">
        <v>35838</v>
      </c>
    </row>
    <row r="28" spans="1:13" x14ac:dyDescent="0.25">
      <c r="A28" s="97"/>
      <c r="B28" s="97"/>
      <c r="C28" s="97"/>
      <c r="H28" t="s">
        <v>95</v>
      </c>
      <c r="K28" s="66">
        <v>-11613</v>
      </c>
      <c r="L28" s="66">
        <v>-19152</v>
      </c>
      <c r="M28" s="66">
        <v>-16786</v>
      </c>
    </row>
    <row r="29" spans="1:13" x14ac:dyDescent="0.25">
      <c r="A29" s="95" t="s">
        <v>95</v>
      </c>
      <c r="B29" s="95"/>
      <c r="C29" s="95"/>
      <c r="D29" s="99">
        <v>-15600</v>
      </c>
      <c r="E29" s="99">
        <v>-21409</v>
      </c>
      <c r="F29" s="99">
        <v>-31690</v>
      </c>
      <c r="G29" s="99"/>
      <c r="H29" t="s">
        <v>96</v>
      </c>
      <c r="J29" s="97"/>
      <c r="K29" s="34">
        <v>212</v>
      </c>
      <c r="L29" s="103">
        <v>1307</v>
      </c>
      <c r="M29" s="103">
        <v>61</v>
      </c>
    </row>
    <row r="30" spans="1:13" x14ac:dyDescent="0.25">
      <c r="A30" s="95" t="s">
        <v>96</v>
      </c>
      <c r="B30" s="95"/>
      <c r="C30" s="95"/>
      <c r="D30" s="98">
        <v>13</v>
      </c>
      <c r="E30" s="98">
        <v>28</v>
      </c>
      <c r="F30" s="98">
        <v>12</v>
      </c>
      <c r="G30" s="98"/>
      <c r="J30" s="97"/>
      <c r="K30" s="66">
        <v>-58008</v>
      </c>
      <c r="L30" s="103">
        <v>48</v>
      </c>
      <c r="M30" s="103">
        <v>11989</v>
      </c>
    </row>
    <row r="31" spans="1:13" x14ac:dyDescent="0.25">
      <c r="A31" s="95"/>
      <c r="B31" s="95"/>
      <c r="C31" s="95"/>
      <c r="D31" s="99">
        <v>-15587</v>
      </c>
      <c r="E31" s="99">
        <v>-21381</v>
      </c>
      <c r="F31" s="99">
        <v>-31678</v>
      </c>
      <c r="G31" s="99"/>
      <c r="H31" t="s">
        <v>97</v>
      </c>
      <c r="J31" s="97"/>
      <c r="L31" s="97"/>
      <c r="M31" s="97"/>
    </row>
    <row r="32" spans="1:13" x14ac:dyDescent="0.25">
      <c r="A32" s="95" t="s">
        <v>97</v>
      </c>
      <c r="B32" s="95"/>
      <c r="C32" s="95"/>
      <c r="D32" s="95"/>
      <c r="E32" s="95"/>
      <c r="F32" s="95"/>
      <c r="G32" s="95"/>
      <c r="H32" t="s">
        <v>119</v>
      </c>
      <c r="J32" s="97"/>
      <c r="K32" s="66">
        <v>-7376</v>
      </c>
      <c r="L32" s="97" t="s">
        <v>57</v>
      </c>
      <c r="M32" s="97" t="s">
        <v>57</v>
      </c>
    </row>
    <row r="33" spans="1:14" x14ac:dyDescent="0.25">
      <c r="A33" s="97"/>
      <c r="B33" s="97"/>
      <c r="C33" s="97"/>
      <c r="H33" t="s">
        <v>98</v>
      </c>
      <c r="K33" t="s">
        <v>57</v>
      </c>
      <c r="L33" s="66">
        <v>-63</v>
      </c>
      <c r="M33" t="s">
        <v>57</v>
      </c>
    </row>
    <row r="34" spans="1:14" x14ac:dyDescent="0.25">
      <c r="A34" s="95" t="s">
        <v>98</v>
      </c>
      <c r="B34" s="95"/>
      <c r="C34" s="95"/>
      <c r="D34" s="95" t="s">
        <v>57</v>
      </c>
      <c r="E34" s="99">
        <v>-138</v>
      </c>
      <c r="F34" s="95" t="s">
        <v>57</v>
      </c>
      <c r="G34" s="95"/>
      <c r="H34" t="s">
        <v>99</v>
      </c>
      <c r="J34" s="97"/>
      <c r="K34" s="34">
        <v>47</v>
      </c>
      <c r="L34" s="103">
        <v>153</v>
      </c>
      <c r="M34" s="103">
        <v>79</v>
      </c>
    </row>
    <row r="35" spans="1:14" x14ac:dyDescent="0.25">
      <c r="A35" s="95" t="s">
        <v>99</v>
      </c>
      <c r="B35" s="95"/>
      <c r="C35" s="95"/>
      <c r="D35" s="98">
        <v>126</v>
      </c>
      <c r="E35" s="95" t="s">
        <v>57</v>
      </c>
      <c r="F35" s="98">
        <v>332</v>
      </c>
      <c r="G35" s="98"/>
      <c r="H35" t="s">
        <v>100</v>
      </c>
      <c r="J35" s="97"/>
      <c r="K35" s="66">
        <v>-3559</v>
      </c>
      <c r="L35" s="104">
        <v>-4350</v>
      </c>
      <c r="M35" s="104">
        <v>-5557</v>
      </c>
    </row>
    <row r="36" spans="1:14" x14ac:dyDescent="0.25">
      <c r="A36" s="95" t="s">
        <v>100</v>
      </c>
      <c r="B36" s="95"/>
      <c r="C36" s="95"/>
      <c r="D36" s="99">
        <v>-6773</v>
      </c>
      <c r="E36" s="99">
        <v>-8400</v>
      </c>
      <c r="F36" s="99">
        <v>-12056</v>
      </c>
      <c r="G36" s="99"/>
      <c r="H36" t="s">
        <v>101</v>
      </c>
      <c r="J36" s="97"/>
      <c r="K36" s="66">
        <v>-663</v>
      </c>
      <c r="L36" s="104">
        <v>-675</v>
      </c>
      <c r="M36" s="104">
        <v>-708</v>
      </c>
    </row>
    <row r="37" spans="1:14" x14ac:dyDescent="0.25">
      <c r="A37" s="95" t="s">
        <v>101</v>
      </c>
      <c r="B37" s="95"/>
      <c r="C37" s="95"/>
      <c r="D37" s="99">
        <v>-460</v>
      </c>
      <c r="E37" s="99">
        <v>-495</v>
      </c>
      <c r="F37" s="99">
        <v>-509</v>
      </c>
      <c r="G37" s="99"/>
      <c r="J37" s="97"/>
      <c r="K37" s="66">
        <v>-11551</v>
      </c>
      <c r="L37" s="104">
        <v>-4935</v>
      </c>
      <c r="M37" s="104">
        <v>-6186</v>
      </c>
    </row>
    <row r="38" spans="1:14" x14ac:dyDescent="0.25">
      <c r="A38" s="95"/>
      <c r="B38" s="95"/>
      <c r="C38" s="95"/>
      <c r="D38" s="99">
        <v>-7107</v>
      </c>
      <c r="E38" s="99">
        <v>-9033</v>
      </c>
      <c r="F38" s="99">
        <v>-12233</v>
      </c>
      <c r="G38" s="99"/>
      <c r="H38" t="s">
        <v>102</v>
      </c>
      <c r="J38" s="97"/>
      <c r="K38" s="66">
        <v>-275</v>
      </c>
      <c r="L38" s="104">
        <v>-404</v>
      </c>
      <c r="M38" s="104">
        <v>-1142</v>
      </c>
    </row>
    <row r="39" spans="1:14" x14ac:dyDescent="0.25">
      <c r="A39" s="95" t="s">
        <v>102</v>
      </c>
      <c r="B39" s="95"/>
      <c r="C39" s="95"/>
      <c r="D39" s="98">
        <v>1256</v>
      </c>
      <c r="E39" s="98">
        <v>107</v>
      </c>
      <c r="F39" s="99">
        <v>-4590</v>
      </c>
      <c r="G39" s="98"/>
      <c r="H39" t="s">
        <v>120</v>
      </c>
      <c r="J39" s="97"/>
      <c r="K39" s="66">
        <v>-23484</v>
      </c>
      <c r="L39" s="103">
        <v>58067</v>
      </c>
      <c r="M39" s="103">
        <v>50505</v>
      </c>
    </row>
    <row r="40" spans="1:14" x14ac:dyDescent="0.25">
      <c r="A40" s="95" t="s">
        <v>103</v>
      </c>
      <c r="B40" s="95"/>
      <c r="C40" s="95"/>
      <c r="D40" s="98">
        <v>40055</v>
      </c>
      <c r="E40" s="98">
        <v>28011</v>
      </c>
      <c r="F40" s="99">
        <v>-110645</v>
      </c>
      <c r="G40" s="98"/>
      <c r="H40" t="s">
        <v>104</v>
      </c>
      <c r="J40" s="97"/>
      <c r="L40" s="97"/>
      <c r="M40" s="97"/>
    </row>
    <row r="41" spans="1:14" x14ac:dyDescent="0.25">
      <c r="A41" s="95" t="s">
        <v>104</v>
      </c>
      <c r="B41" s="95"/>
      <c r="C41" s="95"/>
      <c r="D41" s="95"/>
      <c r="E41" s="95"/>
      <c r="F41" s="95"/>
      <c r="G41" s="95"/>
      <c r="H41" t="s">
        <v>105</v>
      </c>
      <c r="J41" s="97"/>
      <c r="K41" s="34">
        <v>87294</v>
      </c>
      <c r="L41" s="103">
        <v>63810</v>
      </c>
      <c r="M41" s="103">
        <v>121877</v>
      </c>
    </row>
    <row r="42" spans="1:14" x14ac:dyDescent="0.25">
      <c r="A42" s="95" t="s">
        <v>105</v>
      </c>
      <c r="B42" s="95"/>
      <c r="C42" s="95"/>
      <c r="D42" s="98">
        <v>172382</v>
      </c>
      <c r="E42" s="98">
        <v>212437</v>
      </c>
      <c r="F42" s="98">
        <v>240448</v>
      </c>
      <c r="G42" s="98"/>
      <c r="H42" t="s">
        <v>106</v>
      </c>
      <c r="K42" s="102">
        <v>63810</v>
      </c>
      <c r="L42" s="102">
        <v>121877</v>
      </c>
      <c r="M42" s="102">
        <v>172382</v>
      </c>
      <c r="N42" s="102"/>
    </row>
    <row r="43" spans="1:14" x14ac:dyDescent="0.25">
      <c r="A43" s="95" t="s">
        <v>106</v>
      </c>
      <c r="B43" s="95"/>
      <c r="C43" s="95"/>
      <c r="D43" s="96">
        <v>212437</v>
      </c>
      <c r="E43" s="96">
        <v>240448</v>
      </c>
      <c r="F43" s="96">
        <v>129803</v>
      </c>
      <c r="G43" s="96"/>
      <c r="J43" s="97"/>
      <c r="L43" s="97"/>
      <c r="M43" s="97"/>
    </row>
    <row r="44" spans="1:14" x14ac:dyDescent="0.25">
      <c r="A44" s="97"/>
      <c r="B44" s="97"/>
      <c r="C44" s="97"/>
      <c r="D44" s="97"/>
      <c r="E44" s="97"/>
      <c r="F44" s="97"/>
      <c r="G44" s="97"/>
      <c r="H44" t="s">
        <v>107</v>
      </c>
      <c r="J44" s="97"/>
      <c r="L44" s="97"/>
      <c r="M44" s="97"/>
    </row>
    <row r="45" spans="1:14" x14ac:dyDescent="0.25">
      <c r="A45" s="95" t="s">
        <v>107</v>
      </c>
      <c r="B45" s="95"/>
      <c r="C45" s="95"/>
      <c r="D45" s="95"/>
      <c r="E45" s="95"/>
      <c r="F45" s="95"/>
      <c r="G45" s="95"/>
      <c r="H45" t="s">
        <v>108</v>
      </c>
      <c r="J45" s="102">
        <v>307</v>
      </c>
      <c r="K45" s="102"/>
      <c r="L45" s="102"/>
      <c r="M45" s="102"/>
    </row>
    <row r="46" spans="1:14" x14ac:dyDescent="0.25">
      <c r="A46" s="95" t="s">
        <v>108</v>
      </c>
      <c r="B46" s="95"/>
      <c r="C46" s="95"/>
      <c r="D46" s="96">
        <v>406</v>
      </c>
      <c r="E46" s="96">
        <v>911</v>
      </c>
      <c r="F46" s="96">
        <v>115</v>
      </c>
      <c r="G46" s="96"/>
      <c r="H46" t="s">
        <v>121</v>
      </c>
      <c r="J46" s="97"/>
      <c r="K46" s="34">
        <v>493</v>
      </c>
      <c r="L46" s="103">
        <v>227</v>
      </c>
      <c r="M46" s="103">
        <v>1593</v>
      </c>
    </row>
    <row r="47" spans="1:14" x14ac:dyDescent="0.25">
      <c r="H47" t="s">
        <v>109</v>
      </c>
      <c r="K47" s="34">
        <v>13751</v>
      </c>
      <c r="L47" s="34">
        <v>14422</v>
      </c>
      <c r="M47" s="34">
        <v>16746</v>
      </c>
    </row>
    <row r="48" spans="1:14" x14ac:dyDescent="0.25">
      <c r="A48" s="95" t="s">
        <v>109</v>
      </c>
      <c r="B48" s="95"/>
      <c r="C48" s="95"/>
      <c r="D48" s="98">
        <v>19240</v>
      </c>
      <c r="E48" s="98">
        <v>26544</v>
      </c>
      <c r="F48" s="98">
        <v>19086</v>
      </c>
      <c r="G48" s="98"/>
      <c r="H48" t="s">
        <v>110</v>
      </c>
      <c r="J48" s="97"/>
      <c r="K48" s="34">
        <v>493</v>
      </c>
      <c r="L48" s="103">
        <v>143</v>
      </c>
      <c r="M48" s="103">
        <v>144</v>
      </c>
    </row>
    <row r="49" spans="1:7" x14ac:dyDescent="0.25">
      <c r="A49" s="95" t="s">
        <v>110</v>
      </c>
      <c r="B49" s="95"/>
      <c r="C49" s="95"/>
      <c r="D49" s="98">
        <v>112</v>
      </c>
      <c r="E49" s="98">
        <v>114</v>
      </c>
      <c r="F49" s="98">
        <v>113</v>
      </c>
      <c r="G49" s="98"/>
    </row>
    <row r="50" spans="1:7" x14ac:dyDescent="0.25">
      <c r="B50" s="68"/>
    </row>
    <row r="51" spans="1:7" x14ac:dyDescent="0.25">
      <c r="B51" s="65"/>
    </row>
    <row r="52" spans="1:7" x14ac:dyDescent="0.25">
      <c r="B52" s="69"/>
    </row>
    <row r="53" spans="1:7" x14ac:dyDescent="0.25">
      <c r="B53" s="68"/>
    </row>
    <row r="54" spans="1:7" x14ac:dyDescent="0.25">
      <c r="B54" s="67"/>
    </row>
  </sheetData>
  <sortState xmlns:xlrd2="http://schemas.microsoft.com/office/spreadsheetml/2017/richdata2" columnSort="1" ref="K2:M48">
    <sortCondition ref="K2:M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14" sqref="F14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'JOUT DCF'!P44</f>
        <v>0.26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71">
        <v>0.86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'JOUT DCF'!D70</f>
        <v>577435.95717000007</v>
      </c>
      <c r="D12" s="2"/>
      <c r="E12" s="2" t="s">
        <v>35</v>
      </c>
      <c r="F12" s="2"/>
      <c r="G12" s="21">
        <f>'JOUT DCF'!D67</f>
        <v>60942</v>
      </c>
      <c r="H12" s="2"/>
      <c r="I12" s="2" t="s">
        <v>47</v>
      </c>
      <c r="J12" s="2"/>
      <c r="K12" s="21">
        <f>G12+C12</f>
        <v>638377.95717000007</v>
      </c>
      <c r="L12" s="2"/>
    </row>
    <row r="13" spans="1:14" x14ac:dyDescent="0.25">
      <c r="A13" s="2" t="s">
        <v>48</v>
      </c>
      <c r="B13" s="2"/>
      <c r="C13" s="41">
        <f>C12/K12</f>
        <v>0.90453617748619863</v>
      </c>
      <c r="D13" s="2"/>
      <c r="E13" s="2" t="s">
        <v>49</v>
      </c>
      <c r="F13" s="2"/>
      <c r="G13" s="42">
        <f>G12/K12</f>
        <v>9.5463822513801408E-2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8.8599999999999998E-2</v>
      </c>
      <c r="D14" s="2"/>
      <c r="E14" s="2" t="s">
        <v>51</v>
      </c>
      <c r="F14" s="2"/>
      <c r="G14" s="44">
        <v>0.05</v>
      </c>
      <c r="H14" s="2"/>
      <c r="I14" s="45" t="s">
        <v>1</v>
      </c>
      <c r="J14" s="46"/>
      <c r="K14" s="63">
        <f>C13*C14+G14*G13*(1-D6)</f>
        <v>8.3674066758287841E-2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JOUT DCF</vt:lpstr>
      <vt:lpstr>Sheet1</vt:lpstr>
      <vt:lpstr>Sheet2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2023-05-03T08:58:35Z</dcterms:created>
  <dcterms:modified xsi:type="dcterms:W3CDTF">2023-08-30T10:16:36Z</dcterms:modified>
</cp:coreProperties>
</file>