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F90B134C-FB39-4C56-BB70-B2F33B5B9DD8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TSN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Q12" i="1"/>
  <c r="P12" i="1"/>
  <c r="G12" i="2"/>
  <c r="D6" i="2"/>
  <c r="M17" i="1"/>
  <c r="N17" i="1"/>
  <c r="O17" i="1" s="1"/>
  <c r="P17" i="1" s="1"/>
  <c r="Q17" i="1" s="1"/>
  <c r="R17" i="1" s="1"/>
  <c r="D20" i="1"/>
  <c r="D26" i="1" s="1"/>
  <c r="E20" i="1"/>
  <c r="E26" i="1" s="1"/>
  <c r="F20" i="1"/>
  <c r="F26" i="1" s="1"/>
  <c r="G20" i="1"/>
  <c r="G26" i="1" s="1"/>
  <c r="H20" i="1"/>
  <c r="H26" i="1" s="1"/>
  <c r="C20" i="1"/>
  <c r="C26" i="1" s="1"/>
  <c r="I11" i="1"/>
  <c r="H12" i="1"/>
  <c r="C40" i="1"/>
  <c r="C41" i="1" s="1"/>
  <c r="D40" i="1"/>
  <c r="D41" i="1" s="1"/>
  <c r="E40" i="1"/>
  <c r="E16" i="1"/>
  <c r="E29" i="1" s="1"/>
  <c r="E33" i="1" s="1"/>
  <c r="D16" i="1"/>
  <c r="D17" i="1" s="1"/>
  <c r="C16" i="1"/>
  <c r="C29" i="1" s="1"/>
  <c r="C31" i="1" s="1"/>
  <c r="C51" i="1" s="1"/>
  <c r="F41" i="1"/>
  <c r="D63" i="1"/>
  <c r="C12" i="2" s="1"/>
  <c r="C14" i="2"/>
  <c r="G12" i="1"/>
  <c r="C47" i="1"/>
  <c r="H47" i="1"/>
  <c r="G47" i="1"/>
  <c r="F47" i="1"/>
  <c r="E47" i="1"/>
  <c r="D47" i="1"/>
  <c r="H44" i="1"/>
  <c r="G44" i="1"/>
  <c r="F44" i="1"/>
  <c r="E44" i="1"/>
  <c r="D44" i="1"/>
  <c r="C44" i="1"/>
  <c r="E41" i="1"/>
  <c r="H41" i="1"/>
  <c r="G41" i="1"/>
  <c r="H16" i="1"/>
  <c r="H17" i="1" s="1"/>
  <c r="G16" i="1"/>
  <c r="G29" i="1" s="1"/>
  <c r="G31" i="1" s="1"/>
  <c r="G51" i="1" s="1"/>
  <c r="F16" i="1"/>
  <c r="F17" i="1" s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27" i="1" l="1"/>
  <c r="E27" i="1"/>
  <c r="G27" i="1"/>
  <c r="I19" i="1"/>
  <c r="I26" i="1" s="1"/>
  <c r="I27" i="1" s="1"/>
  <c r="E31" i="1"/>
  <c r="E51" i="1" s="1"/>
  <c r="H29" i="1"/>
  <c r="H31" i="1" s="1"/>
  <c r="H51" i="1" s="1"/>
  <c r="J11" i="1"/>
  <c r="J16" i="1" s="1"/>
  <c r="I43" i="1"/>
  <c r="I47" i="1"/>
  <c r="I46" i="1" s="1"/>
  <c r="K12" i="2"/>
  <c r="G13" i="2" s="1"/>
  <c r="I16" i="1"/>
  <c r="I33" i="1"/>
  <c r="I36" i="1" s="1"/>
  <c r="I49" i="1" s="1"/>
  <c r="I14" i="1"/>
  <c r="F29" i="1"/>
  <c r="F31" i="1" s="1"/>
  <c r="F51" i="1" s="1"/>
  <c r="D29" i="1"/>
  <c r="D31" i="1" s="1"/>
  <c r="D51" i="1" s="1"/>
  <c r="C33" i="1"/>
  <c r="C49" i="1" s="1"/>
  <c r="C53" i="1" s="1"/>
  <c r="G33" i="1"/>
  <c r="C17" i="1"/>
  <c r="E17" i="1"/>
  <c r="G17" i="1"/>
  <c r="D27" i="1"/>
  <c r="F27" i="1"/>
  <c r="H27" i="1"/>
  <c r="I29" i="1" l="1"/>
  <c r="I31" i="1" s="1"/>
  <c r="I51" i="1" s="1"/>
  <c r="J33" i="1"/>
  <c r="J36" i="1" s="1"/>
  <c r="J49" i="1" s="1"/>
  <c r="C13" i="2"/>
  <c r="K14" i="2" s="1"/>
  <c r="E5" i="1" s="1"/>
  <c r="J19" i="1"/>
  <c r="J26" i="1" s="1"/>
  <c r="J27" i="1" s="1"/>
  <c r="I40" i="1"/>
  <c r="I53" i="1" s="1"/>
  <c r="J43" i="1"/>
  <c r="J40" i="1"/>
  <c r="K11" i="1"/>
  <c r="K43" i="1" s="1"/>
  <c r="F33" i="1"/>
  <c r="F37" i="1" s="1"/>
  <c r="D33" i="1"/>
  <c r="D49" i="1" s="1"/>
  <c r="D53" i="1" s="1"/>
  <c r="H33" i="1"/>
  <c r="H49" i="1" s="1"/>
  <c r="H53" i="1" s="1"/>
  <c r="G37" i="1"/>
  <c r="G34" i="1"/>
  <c r="G49" i="1"/>
  <c r="G53" i="1" s="1"/>
  <c r="E37" i="1"/>
  <c r="E34" i="1"/>
  <c r="E49" i="1"/>
  <c r="E53" i="1" s="1"/>
  <c r="C37" i="1"/>
  <c r="C34" i="1"/>
  <c r="J46" i="1"/>
  <c r="J14" i="1"/>
  <c r="I54" i="1" l="1"/>
  <c r="J53" i="1"/>
  <c r="J54" i="1" s="1"/>
  <c r="J29" i="1"/>
  <c r="J31" i="1" s="1"/>
  <c r="J51" i="1" s="1"/>
  <c r="F49" i="1"/>
  <c r="F53" i="1" s="1"/>
  <c r="K19" i="1"/>
  <c r="K26" i="1" s="1"/>
  <c r="K27" i="1" s="1"/>
  <c r="D34" i="1"/>
  <c r="D37" i="1"/>
  <c r="F34" i="1"/>
  <c r="H37" i="1"/>
  <c r="L11" i="1"/>
  <c r="L16" i="1" s="1"/>
  <c r="K16" i="1"/>
  <c r="K29" i="1" s="1"/>
  <c r="K31" i="1" s="1"/>
  <c r="K40" i="1"/>
  <c r="K33" i="1"/>
  <c r="K36" i="1" s="1"/>
  <c r="K49" i="1" s="1"/>
  <c r="H34" i="1"/>
  <c r="K46" i="1"/>
  <c r="L46" i="1" l="1"/>
  <c r="M11" i="1"/>
  <c r="M46" i="1" s="1"/>
  <c r="K53" i="1"/>
  <c r="K51" i="1"/>
  <c r="K14" i="1"/>
  <c r="L14" i="1"/>
  <c r="L19" i="1"/>
  <c r="L26" i="1" s="1"/>
  <c r="L27" i="1" s="1"/>
  <c r="L40" i="1"/>
  <c r="L33" i="1"/>
  <c r="L36" i="1" s="1"/>
  <c r="L49" i="1" s="1"/>
  <c r="L43" i="1"/>
  <c r="K54" i="1"/>
  <c r="M43" i="1"/>
  <c r="M33" i="1" l="1"/>
  <c r="M16" i="1"/>
  <c r="M14" i="1" s="1"/>
  <c r="M40" i="1"/>
  <c r="N11" i="1"/>
  <c r="N16" i="1" s="1"/>
  <c r="L53" i="1"/>
  <c r="L54" i="1" s="1"/>
  <c r="L29" i="1"/>
  <c r="L31" i="1" s="1"/>
  <c r="L51" i="1" s="1"/>
  <c r="M19" i="1"/>
  <c r="M26" i="1" s="1"/>
  <c r="M27" i="1" s="1"/>
  <c r="O11" i="1"/>
  <c r="O46" i="1" s="1"/>
  <c r="M36" i="1"/>
  <c r="M49" i="1" s="1"/>
  <c r="N33" i="1" l="1"/>
  <c r="N43" i="1"/>
  <c r="N46" i="1"/>
  <c r="N40" i="1"/>
  <c r="M29" i="1"/>
  <c r="M31" i="1" s="1"/>
  <c r="M51" i="1" s="1"/>
  <c r="M53" i="1"/>
  <c r="M54" i="1" s="1"/>
  <c r="N14" i="1"/>
  <c r="N19" i="1"/>
  <c r="N26" i="1" s="1"/>
  <c r="N27" i="1" s="1"/>
  <c r="P11" i="1"/>
  <c r="O16" i="1"/>
  <c r="N36" i="1"/>
  <c r="N49" i="1" s="1"/>
  <c r="O33" i="1"/>
  <c r="O43" i="1"/>
  <c r="O40" i="1"/>
  <c r="N53" i="1" l="1"/>
  <c r="N54" i="1" s="1"/>
  <c r="N29" i="1"/>
  <c r="N31" i="1" s="1"/>
  <c r="N51" i="1" s="1"/>
  <c r="O19" i="1"/>
  <c r="O26" i="1" s="1"/>
  <c r="O27" i="1" s="1"/>
  <c r="Q11" i="1"/>
  <c r="P16" i="1"/>
  <c r="P43" i="1"/>
  <c r="P40" i="1"/>
  <c r="P33" i="1"/>
  <c r="P46" i="1"/>
  <c r="O14" i="1"/>
  <c r="O36" i="1"/>
  <c r="O49" i="1" s="1"/>
  <c r="O53" i="1" l="1"/>
  <c r="O54" i="1" s="1"/>
  <c r="O29" i="1"/>
  <c r="O31" i="1" s="1"/>
  <c r="O51" i="1" s="1"/>
  <c r="P19" i="1"/>
  <c r="P26" i="1" s="1"/>
  <c r="P27" i="1" s="1"/>
  <c r="R11" i="1"/>
  <c r="R16" i="1" s="1"/>
  <c r="Q16" i="1"/>
  <c r="Q33" i="1"/>
  <c r="Q40" i="1"/>
  <c r="Q43" i="1"/>
  <c r="Q46" i="1"/>
  <c r="P14" i="1"/>
  <c r="P36" i="1"/>
  <c r="P49" i="1" s="1"/>
  <c r="P53" i="1" l="1"/>
  <c r="P54" i="1" s="1"/>
  <c r="P29" i="1"/>
  <c r="P31" i="1" s="1"/>
  <c r="P51" i="1" s="1"/>
  <c r="R19" i="1"/>
  <c r="R26" i="1" s="1"/>
  <c r="R27" i="1" s="1"/>
  <c r="Q19" i="1"/>
  <c r="Q26" i="1" s="1"/>
  <c r="Q27" i="1" s="1"/>
  <c r="R43" i="1"/>
  <c r="R40" i="1"/>
  <c r="R14" i="1"/>
  <c r="R33" i="1"/>
  <c r="R46" i="1"/>
  <c r="Q14" i="1"/>
  <c r="Q36" i="1"/>
  <c r="Q49" i="1" s="1"/>
  <c r="R29" i="1" l="1"/>
  <c r="R31" i="1" s="1"/>
  <c r="Q53" i="1"/>
  <c r="Q54" i="1" s="1"/>
  <c r="Q29" i="1"/>
  <c r="Q31" i="1" s="1"/>
  <c r="Q51" i="1" s="1"/>
  <c r="R36" i="1"/>
  <c r="R49" i="1" s="1"/>
  <c r="R53" i="1" l="1"/>
  <c r="C56" i="1" s="1"/>
  <c r="C57" i="1" s="1"/>
  <c r="R51" i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F56" i="1" s="1"/>
  <c r="H59" i="1" s="1"/>
  <c r="H61" i="1" s="1"/>
  <c r="R54" i="1" l="1"/>
  <c r="G59" i="1" s="1"/>
  <c r="G61" i="1" s="1"/>
  <c r="H64" i="1"/>
  <c r="G64" i="1" l="1"/>
  <c r="E64" i="1" s="1"/>
  <c r="J6" i="1" l="1"/>
  <c r="N5" i="1" s="1"/>
  <c r="L60" i="1"/>
</calcChain>
</file>

<file path=xl/sharedStrings.xml><?xml version="1.0" encoding="utf-8"?>
<sst xmlns="http://schemas.openxmlformats.org/spreadsheetml/2006/main" count="67" uniqueCount="56">
  <si>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</si>
  <si>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</si>
  <si>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</si>
  <si>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</si>
  <si>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</si>
  <si>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</si>
  <si>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</si>
  <si>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</si>
  <si>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</si>
  <si>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</si>
  <si>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</si>
  <si>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</si>
  <si>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</si>
  <si>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</si>
  <si>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</si>
  <si>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</si>
  <si>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</si>
  <si>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</si>
  <si>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</si>
  <si>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</si>
  <si>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</si>
  <si>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</si>
  <si>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</si>
  <si>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</si>
  <si>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</si>
  <si>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</si>
  <si>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</si>
  <si>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</si>
  <si>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</si>
  <si>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</si>
  <si>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</si>
  <si>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</si>
  <si>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</si>
  <si>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</si>
  <si>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</si>
  <si>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</si>
  <si>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</si>
  <si>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</si>
  <si>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</si>
  <si>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</si>
  <si>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</si>
  <si>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</si>
  <si>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</si>
  <si>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</si>
  <si>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</si>
  <si>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</si>
  <si>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</si>
  <si>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</si>
  <si>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</si>
  <si>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</si>
  <si>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</si>
  <si>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Tyson Foods DCF</t>
  </si>
  <si>
    <t>Interest income</t>
  </si>
  <si>
    <t>Interest exp</t>
  </si>
  <si>
    <t>NCI</t>
  </si>
  <si>
    <t xml:space="preserve">                                             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</si>
</sst>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6" fillId="4" borderId="2" xfId="0" applyFont="1" applyFill="1" applyBorder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8" fillId="2" borderId="0" xfId="0" applyNumberFormat="1" applyFont="1" applyFill="1"/>
    <xf numFmtId="164" fontId="9" fillId="2" borderId="3" xfId="1" applyNumberFormat="1" applyFont="1" applyFill="1" applyBorder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6" fillId="3" borderId="2" xfId="0" applyFont="1" applyFill="1" applyBorder="1"/>
    <xf numFmtId="3" fontId="3" fillId="0" borderId="0" xfId="0" applyNumberFormat="1" applyFont="1"/>
    <xf numFmtId="0" fontId="3" fillId="4" borderId="0" xfId="0" applyFont="1" applyFill="1"/>
    <xf numFmtId="0" fontId="3" fillId="2" borderId="8" xfId="0" applyFont="1" applyFill="1" applyBorder="1"/>
    <xf numFmtId="0" fontId="3" fillId="2" borderId="9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3" fillId="2" borderId="10" xfId="0" applyFont="1" applyFill="1" applyBorder="1"/>
    <xf numFmtId="0" fontId="0" fillId="2" borderId="5" xfId="0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11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1" fontId="3" fillId="2" borderId="4" xfId="0" applyNumberFormat="1" applyFont="1" applyFill="1" applyBorder="1"/>
    <xf numFmtId="3" fontId="0" fillId="0" borderId="0" xfId="0" applyNumberFormat="1"/>
    <xf numFmtId="164" fontId="8" fillId="2" borderId="0" xfId="1" applyNumberFormat="1" applyFont="1" applyFill="1" applyBorder="1"/>
    <xf numFmtId="3" fontId="3" fillId="2" borderId="3" xfId="0" applyNumberFormat="1" applyFont="1" applyFill="1" applyBorder="1"/>
    <xf numFmtId="164" fontId="8" fillId="2" borderId="3" xfId="1" applyNumberFormat="1" applyFont="1" applyFill="1" applyBorder="1"/>
    <xf numFmtId="3" fontId="0" fillId="2" borderId="1" xfId="0" applyNumberFormat="1" applyFill="1" applyBorder="1"/>
    <xf numFmtId="164" fontId="9" fillId="2" borderId="0" xfId="1" applyNumberFormat="1" applyFon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12" xfId="0" applyFont="1" applyFill="1" applyBorder="1"/>
    <xf numFmtId="0" fontId="0" fillId="2" borderId="13" xfId="0" applyFill="1" applyBorder="1"/>
    <xf numFmtId="10" fontId="2" fillId="2" borderId="14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10" fontId="9" fillId="2" borderId="3" xfId="1" applyNumberFormat="1" applyFont="1" applyFill="1" applyBorder="1"/>
    <xf numFmtId="1" fontId="3" fillId="2" borderId="0" xfId="0" applyNumberFormat="1" applyFont="1" applyFill="1" applyBorder="1"/>
    <xf numFmtId="10" fontId="9" fillId="2" borderId="0" xfId="1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0" fontId="8" fillId="2" borderId="0" xfId="0" applyNumberFormat="1" applyFont="1" applyFill="1" applyBorder="1"/>
    <xf numFmtId="3" fontId="3" fillId="0" borderId="3" xfId="0" applyNumberFormat="1" applyFont="1" applyBorder="1"/>
    <xf numFmtId="1" fontId="3" fillId="2" borderId="15" xfId="0" applyNumberFormat="1" applyFont="1" applyFill="1" applyBorder="1"/>
    <xf numFmtId="0" fontId="3" fillId="2" borderId="16" xfId="0" applyFont="1" applyFill="1" applyBorder="1"/>
    <xf numFmtId="10" fontId="8" fillId="2" borderId="3" xfId="0" applyNumberFormat="1" applyFont="1" applyFill="1" applyBorder="1"/>
    <xf numFmtId="1" fontId="0" fillId="0" borderId="0" xfId="0" applyNumberFormat="1"/>
    <xf numFmtId="164" fontId="9" fillId="2" borderId="3" xfId="0" applyNumberFormat="1" applyFont="1" applyFill="1" applyBorder="1"/>
    <xf numFmtId="164" fontId="9" fillId="2" borderId="0" xfId="0" applyNumberFormat="1" applyFont="1" applyFill="1"/>
    <xf numFmtId="164" fontId="8" fillId="2" borderId="0" xfId="1" applyNumberFormat="1" applyFont="1" applyFill="1"/>
    <xf numFmtId="164" fontId="9" fillId="2" borderId="2" xfId="1" applyNumberFormat="1" applyFont="1" applyFill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0" fontId="3" fillId="9" borderId="0" xfId="0" applyFont="1" applyFill="1" applyAlignment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164" fontId="0" fillId="8" borderId="0" xfId="0" applyNumberFormat="1" applyFill="1"/>
    <xf numFmtId="0" fontId="0" fillId="3" borderId="0" xfId="0" applyFill="1"/>
    <xf numFmtId="0" fontId="11" fillId="10" borderId="0" xfId="0" applyFont="1" applyFill="1"/>
    <xf numFmtId="1" fontId="3" fillId="2" borderId="5" xfId="0" applyNumberFormat="1" applyFont="1" applyFill="1" applyBorder="1"/>
    <xf numFmtId="164" fontId="3" fillId="2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topLeftCell="A55" workbookViewId="0">
      <selection activeCell="F69" sqref="F69"/>
    </sheetView>
  </sheetViews>
  <sheetFormatPr defaultRowHeight="15" x14ac:dyDescent="0.25"/>
  <cols>
    <col min="1" max="1" width="9.140625" style="2"/>
    <col min="2" max="2" width="17.28515625" style="2" customWidth="1"/>
    <col min="3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5703125" style="2" bestFit="1" customWidth="1"/>
    <col min="11" max="11" width="9.42578125" style="2" customWidth="1"/>
    <col min="12" max="18" width="10.5703125" style="2" bestFit="1" customWidth="1"/>
    <col min="19" max="16384" width="9.140625" style="2"/>
  </cols>
  <sheetData>
    <row r="1" spans="1:18" s="66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66" customFormat="1" ht="23.25" x14ac:dyDescent="0.35">
      <c r="A2" s="3"/>
      <c r="B2" s="4" t="s">
        <v>51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5"/>
    </row>
    <row r="3" spans="1:18" s="66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66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66" customFormat="1" x14ac:dyDescent="0.25">
      <c r="A5" s="1"/>
      <c r="B5" s="1"/>
      <c r="C5" s="7" t="s">
        <v>1</v>
      </c>
      <c r="D5" s="1"/>
      <c r="E5" s="92">
        <f>WACC!K14</f>
        <v>8.5725491915375748E-2</v>
      </c>
      <c r="F5" s="2"/>
      <c r="G5" s="1"/>
      <c r="H5" s="1" t="s">
        <v>2</v>
      </c>
      <c r="I5" s="1"/>
      <c r="J5" s="7">
        <v>60.56</v>
      </c>
      <c r="K5" s="1"/>
      <c r="L5" s="1" t="s">
        <v>3</v>
      </c>
      <c r="M5" s="1"/>
      <c r="N5" s="7">
        <f>(J6/J5)-1</f>
        <v>0.20469782346922161</v>
      </c>
      <c r="O5" s="1"/>
      <c r="P5" s="1"/>
      <c r="Q5" s="1"/>
      <c r="R5" s="2"/>
    </row>
    <row r="6" spans="1:18" s="66" customFormat="1" x14ac:dyDescent="0.25">
      <c r="A6" s="1"/>
      <c r="B6" s="1"/>
      <c r="C6" s="7" t="s">
        <v>4</v>
      </c>
      <c r="D6" s="1"/>
      <c r="E6" s="92">
        <v>-0.01</v>
      </c>
      <c r="F6" s="2"/>
      <c r="G6" s="1"/>
      <c r="H6" s="1" t="s">
        <v>5</v>
      </c>
      <c r="I6" s="1"/>
      <c r="J6" s="7">
        <f>E64</f>
        <v>72.956500189296065</v>
      </c>
      <c r="K6" s="1"/>
      <c r="L6" s="1"/>
      <c r="M6" s="1"/>
      <c r="N6" s="1"/>
      <c r="O6" s="1"/>
      <c r="P6" s="1"/>
      <c r="Q6" s="1"/>
      <c r="R6" s="2"/>
    </row>
    <row r="7" spans="1:18" s="66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s="66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s="66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66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11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66" customFormat="1" x14ac:dyDescent="0.25">
      <c r="A11" s="1"/>
      <c r="B11" s="1" t="s">
        <v>7</v>
      </c>
      <c r="C11" s="12">
        <v>38260</v>
      </c>
      <c r="D11" s="12">
        <v>40052</v>
      </c>
      <c r="E11" s="12">
        <v>42405</v>
      </c>
      <c r="F11" s="12">
        <v>43185</v>
      </c>
      <c r="G11" s="12">
        <v>47049</v>
      </c>
      <c r="H11" s="12">
        <v>53282</v>
      </c>
      <c r="I11" s="24">
        <f>H11*(1+I12)</f>
        <v>55040.305999999997</v>
      </c>
      <c r="J11" s="20">
        <f>I11*(1+J12)</f>
        <v>56251.192731999996</v>
      </c>
      <c r="K11" s="20">
        <f t="shared" ref="K11:R11" si="1">J11*(1+K12)</f>
        <v>56926.207044783994</v>
      </c>
      <c r="L11" s="20">
        <f t="shared" si="1"/>
        <v>57609.321529321402</v>
      </c>
      <c r="M11" s="20">
        <f t="shared" si="1"/>
        <v>58300.633387673261</v>
      </c>
      <c r="N11" s="20">
        <f t="shared" si="1"/>
        <v>59000.240988325342</v>
      </c>
      <c r="O11" s="20">
        <f t="shared" si="1"/>
        <v>59708.243880185248</v>
      </c>
      <c r="P11" s="20">
        <f t="shared" si="1"/>
        <v>59111.161441383396</v>
      </c>
      <c r="Q11" s="20">
        <f t="shared" si="1"/>
        <v>58520.04982696956</v>
      </c>
      <c r="R11" s="20">
        <f t="shared" si="1"/>
        <v>57934.849328699864</v>
      </c>
    </row>
    <row r="12" spans="1:18" s="66" customFormat="1" x14ac:dyDescent="0.25">
      <c r="A12" s="1"/>
      <c r="B12" s="14" t="s">
        <v>8</v>
      </c>
      <c r="C12" s="15"/>
      <c r="D12" s="15">
        <f>(D11/C11)-1</f>
        <v>4.6837428123366331E-2</v>
      </c>
      <c r="E12" s="15">
        <f>(E11/D11)-1</f>
        <v>5.8748626785179336E-2</v>
      </c>
      <c r="F12" s="15">
        <f>(F11/E11)-1</f>
        <v>1.8394057304563116E-2</v>
      </c>
      <c r="G12" s="15">
        <f>(G11/F11)-1</f>
        <v>8.9475512330670304E-2</v>
      </c>
      <c r="H12" s="15">
        <f>(H11/G11)-1</f>
        <v>0.13247890497141279</v>
      </c>
      <c r="I12" s="82">
        <v>3.3000000000000002E-2</v>
      </c>
      <c r="J12" s="53">
        <v>2.1999999999999999E-2</v>
      </c>
      <c r="K12" s="53">
        <v>1.2E-2</v>
      </c>
      <c r="L12" s="53">
        <v>1.2E-2</v>
      </c>
      <c r="M12" s="53">
        <v>1.2E-2</v>
      </c>
      <c r="N12" s="53">
        <v>1.2E-2</v>
      </c>
      <c r="O12" s="53">
        <v>1.2E-2</v>
      </c>
      <c r="P12" s="53">
        <f>E6</f>
        <v>-0.01</v>
      </c>
      <c r="Q12" s="53">
        <f>E6</f>
        <v>-0.01</v>
      </c>
      <c r="R12" s="53">
        <f>E6</f>
        <v>-0.01</v>
      </c>
    </row>
    <row r="13" spans="1:18" s="66" customFormat="1" x14ac:dyDescent="0.25">
      <c r="A13" s="1"/>
      <c r="B13" s="6"/>
      <c r="C13" s="1"/>
      <c r="D13" s="1"/>
      <c r="E13" s="1"/>
      <c r="F13" s="1"/>
      <c r="G13" s="1"/>
      <c r="H13" s="1"/>
      <c r="I13" s="16"/>
      <c r="J13" s="1"/>
      <c r="K13" s="1"/>
      <c r="L13" s="1"/>
      <c r="M13" s="1"/>
      <c r="N13" s="1"/>
      <c r="O13" s="1"/>
      <c r="P13" s="1"/>
      <c r="Q13" s="1"/>
      <c r="R13" s="2"/>
    </row>
    <row r="14" spans="1:18" s="66" customFormat="1" x14ac:dyDescent="0.25">
      <c r="A14" s="1"/>
      <c r="B14" s="1" t="s">
        <v>9</v>
      </c>
      <c r="C14" s="12">
        <v>33198</v>
      </c>
      <c r="D14" s="12">
        <v>34956</v>
      </c>
      <c r="E14" s="12">
        <v>37383</v>
      </c>
      <c r="F14" s="12">
        <v>37801</v>
      </c>
      <c r="G14" s="12">
        <v>40523</v>
      </c>
      <c r="H14" s="12">
        <v>46614</v>
      </c>
      <c r="I14" s="47">
        <f t="shared" ref="I14:R14" si="2">I11-I16</f>
        <v>50460.952540799997</v>
      </c>
      <c r="J14" s="91">
        <f t="shared" si="2"/>
        <v>51047.957404289999</v>
      </c>
      <c r="K14" s="91">
        <f t="shared" si="2"/>
        <v>50436.619441678617</v>
      </c>
      <c r="L14" s="91">
        <f t="shared" si="2"/>
        <v>50408.15633815623</v>
      </c>
      <c r="M14" s="91">
        <f t="shared" si="2"/>
        <v>51013.054214214106</v>
      </c>
      <c r="N14" s="91">
        <f t="shared" si="2"/>
        <v>51625.210864784676</v>
      </c>
      <c r="O14" s="91">
        <f t="shared" si="2"/>
        <v>52244.713395162093</v>
      </c>
      <c r="P14" s="91">
        <f t="shared" si="2"/>
        <v>51722.266261210469</v>
      </c>
      <c r="Q14" s="91">
        <f t="shared" si="2"/>
        <v>51205.043598598364</v>
      </c>
      <c r="R14" s="91">
        <f t="shared" si="2"/>
        <v>50692.99316261238</v>
      </c>
    </row>
    <row r="15" spans="1:18" s="66" customFormat="1" x14ac:dyDescent="0.25">
      <c r="A15" s="1"/>
      <c r="B15" s="19"/>
      <c r="C15" s="19"/>
      <c r="D15" s="19"/>
      <c r="E15" s="19"/>
      <c r="F15" s="19"/>
      <c r="G15" s="19"/>
      <c r="H15" s="19"/>
      <c r="I15" s="76"/>
      <c r="J15" s="1"/>
      <c r="K15" s="1"/>
      <c r="L15" s="1"/>
      <c r="M15" s="1"/>
      <c r="N15" s="1"/>
      <c r="O15" s="1"/>
      <c r="P15" s="1"/>
      <c r="Q15" s="1"/>
      <c r="R15" s="2"/>
    </row>
    <row r="16" spans="1:18" s="66" customFormat="1" x14ac:dyDescent="0.25">
      <c r="A16" s="1"/>
      <c r="B16" s="1" t="s">
        <v>10</v>
      </c>
      <c r="C16" s="12">
        <f>C11-C14</f>
        <v>5062</v>
      </c>
      <c r="D16" s="12">
        <f>D11-D14</f>
        <v>5096</v>
      </c>
      <c r="E16" s="12">
        <f>E11-E14</f>
        <v>5022</v>
      </c>
      <c r="F16" s="12">
        <f>F11-F14</f>
        <v>5384</v>
      </c>
      <c r="G16" s="12">
        <f>G11-G14</f>
        <v>6526</v>
      </c>
      <c r="H16" s="12">
        <f>H11-H14</f>
        <v>6668</v>
      </c>
      <c r="I16" s="24">
        <f>I11*I17</f>
        <v>4579.3534591999996</v>
      </c>
      <c r="J16" s="20">
        <f t="shared" ref="J16:R16" si="3">J11*J17</f>
        <v>5203.2353277099992</v>
      </c>
      <c r="K16" s="20">
        <f>K11*K17</f>
        <v>6489.5876031053758</v>
      </c>
      <c r="L16" s="20">
        <f t="shared" si="3"/>
        <v>7201.1651911651752</v>
      </c>
      <c r="M16" s="20">
        <f t="shared" si="3"/>
        <v>7287.5791734591576</v>
      </c>
      <c r="N16" s="20">
        <f t="shared" si="3"/>
        <v>7375.0301235406678</v>
      </c>
      <c r="O16" s="20">
        <f t="shared" si="3"/>
        <v>7463.530485023156</v>
      </c>
      <c r="P16" s="20">
        <f t="shared" si="3"/>
        <v>7388.8951801729245</v>
      </c>
      <c r="Q16" s="20">
        <f t="shared" si="3"/>
        <v>7315.006228371195</v>
      </c>
      <c r="R16" s="20">
        <f t="shared" si="3"/>
        <v>7241.856166087483</v>
      </c>
    </row>
    <row r="17" spans="1:18" s="66" customFormat="1" x14ac:dyDescent="0.25">
      <c r="A17" s="1"/>
      <c r="B17" s="14" t="s">
        <v>11</v>
      </c>
      <c r="C17" s="15">
        <f>C16/C11</f>
        <v>0.13230527966544695</v>
      </c>
      <c r="D17" s="15">
        <f>D16/D11</f>
        <v>0.12723459502646559</v>
      </c>
      <c r="E17" s="15">
        <f>E16/E11</f>
        <v>0.1184294304916873</v>
      </c>
      <c r="F17" s="15">
        <f>F16/F11</f>
        <v>0.12467291883755934</v>
      </c>
      <c r="G17" s="15">
        <f>G16/G11</f>
        <v>0.1387064549724755</v>
      </c>
      <c r="H17" s="15">
        <f>H16/H11</f>
        <v>0.12514545249802936</v>
      </c>
      <c r="I17" s="77">
        <v>8.3199999999999996E-2</v>
      </c>
      <c r="J17" s="21">
        <v>9.2499999999999999E-2</v>
      </c>
      <c r="K17" s="21">
        <v>0.114</v>
      </c>
      <c r="L17" s="21">
        <v>0.125</v>
      </c>
      <c r="M17" s="21">
        <f t="shared" ref="M17:R17" si="4">L17</f>
        <v>0.125</v>
      </c>
      <c r="N17" s="21">
        <f t="shared" si="4"/>
        <v>0.125</v>
      </c>
      <c r="O17" s="21">
        <f t="shared" si="4"/>
        <v>0.125</v>
      </c>
      <c r="P17" s="21">
        <f t="shared" si="4"/>
        <v>0.125</v>
      </c>
      <c r="Q17" s="21">
        <f t="shared" si="4"/>
        <v>0.125</v>
      </c>
      <c r="R17" s="21">
        <f t="shared" si="4"/>
        <v>0.125</v>
      </c>
    </row>
    <row r="18" spans="1:18" s="66" customFormat="1" x14ac:dyDescent="0.25">
      <c r="A18" s="1"/>
      <c r="B18" s="1"/>
      <c r="C18" s="12"/>
      <c r="D18" s="12"/>
      <c r="E18" s="12"/>
      <c r="F18" s="12"/>
      <c r="G18" s="12"/>
      <c r="H18" s="12"/>
      <c r="I18" s="24"/>
      <c r="J18" s="20"/>
      <c r="K18" s="20"/>
      <c r="L18" s="20"/>
      <c r="M18" s="20"/>
      <c r="N18" s="20"/>
      <c r="O18" s="20"/>
      <c r="P18" s="20"/>
      <c r="Q18" s="20"/>
      <c r="R18" s="20"/>
    </row>
    <row r="19" spans="1:18" s="66" customFormat="1" x14ac:dyDescent="0.25">
      <c r="A19" s="1"/>
      <c r="B19" s="1" t="s">
        <v>40</v>
      </c>
      <c r="C19" s="12">
        <v>2141</v>
      </c>
      <c r="D19" s="12">
        <v>2064</v>
      </c>
      <c r="E19" s="12">
        <v>2195</v>
      </c>
      <c r="F19" s="12">
        <v>2376</v>
      </c>
      <c r="G19" s="12">
        <v>2130</v>
      </c>
      <c r="H19" s="12">
        <v>2258</v>
      </c>
      <c r="I19" s="24">
        <f>I20*I11</f>
        <v>2917.1362179999996</v>
      </c>
      <c r="J19" s="69">
        <f>J20*J11</f>
        <v>2981.3132147959996</v>
      </c>
      <c r="K19" s="69">
        <f>K20*K11</f>
        <v>3017.0889733735517</v>
      </c>
      <c r="L19" s="69">
        <f>L20*L11</f>
        <v>3456.559291759284</v>
      </c>
      <c r="M19" s="69">
        <f>M20*M11</f>
        <v>3498.0380032603957</v>
      </c>
      <c r="N19" s="69">
        <f>N20*N11</f>
        <v>3540.0144592995202</v>
      </c>
      <c r="O19" s="69">
        <f>O20*O11</f>
        <v>3582.4946328111146</v>
      </c>
      <c r="P19" s="69">
        <f>P20*P11</f>
        <v>3546.6696864830037</v>
      </c>
      <c r="Q19" s="69">
        <f>Q20*Q11</f>
        <v>3511.2029896181734</v>
      </c>
      <c r="R19" s="69">
        <f>R20*R11</f>
        <v>3476.0909597219916</v>
      </c>
    </row>
    <row r="20" spans="1:18" s="66" customFormat="1" x14ac:dyDescent="0.25">
      <c r="A20" s="1"/>
      <c r="B20" s="14" t="s">
        <v>17</v>
      </c>
      <c r="C20" s="15">
        <f>C19/C11</f>
        <v>5.5959226346053319E-2</v>
      </c>
      <c r="D20" s="15">
        <f>D19/D11</f>
        <v>5.1533007090781985E-2</v>
      </c>
      <c r="E20" s="15">
        <f>E19/E11</f>
        <v>5.1762763825020632E-2</v>
      </c>
      <c r="F20" s="15">
        <f>F19/F11</f>
        <v>5.5019103855505382E-2</v>
      </c>
      <c r="G20" s="15">
        <f>G19/G11</f>
        <v>4.5271950519670978E-2</v>
      </c>
      <c r="H20" s="15">
        <f>H19/H11</f>
        <v>4.2378289103261892E-2</v>
      </c>
      <c r="I20" s="68">
        <v>5.2999999999999999E-2</v>
      </c>
      <c r="J20" s="70">
        <v>5.2999999999999999E-2</v>
      </c>
      <c r="K20" s="70">
        <v>5.2999999999999999E-2</v>
      </c>
      <c r="L20" s="70">
        <v>0.06</v>
      </c>
      <c r="M20" s="70">
        <v>0.06</v>
      </c>
      <c r="N20" s="70">
        <v>0.06</v>
      </c>
      <c r="O20" s="70">
        <v>0.06</v>
      </c>
      <c r="P20" s="70">
        <v>0.06</v>
      </c>
      <c r="Q20" s="70">
        <v>0.06</v>
      </c>
      <c r="R20" s="70">
        <v>0.06</v>
      </c>
    </row>
    <row r="21" spans="1:18" s="66" customFormat="1" x14ac:dyDescent="0.25">
      <c r="A21" s="1"/>
      <c r="B21" s="1"/>
      <c r="C21" s="12"/>
      <c r="D21" s="12"/>
      <c r="E21" s="12"/>
      <c r="F21" s="12"/>
      <c r="G21" s="12"/>
      <c r="H21" s="12"/>
      <c r="I21" s="24"/>
      <c r="J21" s="20"/>
      <c r="K21" s="20"/>
      <c r="L21" s="20"/>
      <c r="M21" s="20"/>
      <c r="N21" s="20"/>
      <c r="O21" s="20"/>
      <c r="P21" s="20"/>
      <c r="Q21" s="20"/>
      <c r="R21" s="20"/>
    </row>
    <row r="22" spans="1:18" s="66" customFormat="1" x14ac:dyDescent="0.25">
      <c r="A22" s="1"/>
      <c r="B22" s="1" t="s">
        <v>53</v>
      </c>
      <c r="C22" s="12">
        <v>279</v>
      </c>
      <c r="D22" s="12">
        <v>350</v>
      </c>
      <c r="E22" s="12">
        <v>462</v>
      </c>
      <c r="F22" s="12">
        <v>485</v>
      </c>
      <c r="G22" s="12">
        <v>428</v>
      </c>
      <c r="H22" s="12">
        <v>365</v>
      </c>
      <c r="I22" s="50">
        <v>463.53333333333399</v>
      </c>
      <c r="J22" s="12">
        <v>483.16190476190502</v>
      </c>
      <c r="K22" s="12">
        <v>502.790476190476</v>
      </c>
      <c r="L22" s="12">
        <v>522.419047619048</v>
      </c>
      <c r="M22" s="12">
        <v>542.04761904761904</v>
      </c>
      <c r="N22" s="12">
        <v>561.67619047619098</v>
      </c>
      <c r="O22" s="12">
        <v>581.30476190476202</v>
      </c>
      <c r="P22" s="12">
        <v>600.93333333333396</v>
      </c>
      <c r="Q22" s="12">
        <v>620.561904761905</v>
      </c>
      <c r="R22" s="12">
        <v>640.19047619047603</v>
      </c>
    </row>
    <row r="23" spans="1:18" s="66" customFormat="1" x14ac:dyDescent="0.25">
      <c r="A23" s="1"/>
      <c r="B23" s="1" t="s">
        <v>52</v>
      </c>
      <c r="C23" s="12">
        <v>-7</v>
      </c>
      <c r="D23" s="12">
        <v>-7</v>
      </c>
      <c r="E23" s="12">
        <v>-11</v>
      </c>
      <c r="F23" s="12">
        <v>-10</v>
      </c>
      <c r="G23" s="12">
        <v>-8</v>
      </c>
      <c r="H23" s="12">
        <v>-17</v>
      </c>
      <c r="I23" s="50">
        <v>-15.2</v>
      </c>
      <c r="J23" s="12">
        <v>-16.685714285714301</v>
      </c>
      <c r="K23" s="12">
        <v>-18.171428571428599</v>
      </c>
      <c r="L23" s="12">
        <v>-19.657142857142901</v>
      </c>
      <c r="M23" s="12">
        <v>-21.142857142857199</v>
      </c>
      <c r="N23" s="12">
        <v>-22.628571428571401</v>
      </c>
      <c r="O23" s="12">
        <v>-24.1142857142857</v>
      </c>
      <c r="P23" s="12">
        <v>-25.6</v>
      </c>
      <c r="Q23" s="12">
        <v>-27.0857142857143</v>
      </c>
      <c r="R23" s="12">
        <v>-28.571428571428601</v>
      </c>
    </row>
    <row r="24" spans="1:18" s="66" customFormat="1" x14ac:dyDescent="0.25">
      <c r="A24" s="1"/>
      <c r="B24" s="1" t="s">
        <v>12</v>
      </c>
      <c r="C24" s="12">
        <v>21</v>
      </c>
      <c r="D24" s="12">
        <v>-56</v>
      </c>
      <c r="E24" s="12">
        <v>-55</v>
      </c>
      <c r="F24" s="12">
        <v>-131</v>
      </c>
      <c r="G24" s="12">
        <v>-65</v>
      </c>
      <c r="H24" s="12">
        <v>-87</v>
      </c>
      <c r="I24" s="50">
        <v>-126.466666666666</v>
      </c>
      <c r="J24" s="12">
        <v>-144.83809523809501</v>
      </c>
      <c r="K24" s="12">
        <v>-163.209523809524</v>
      </c>
      <c r="L24" s="12">
        <v>-181.580952380952</v>
      </c>
      <c r="M24" s="12">
        <v>-199.95238095238099</v>
      </c>
      <c r="N24" s="12">
        <v>-218.32380952380899</v>
      </c>
      <c r="O24" s="12">
        <v>-236.69523809523801</v>
      </c>
      <c r="P24" s="12">
        <v>-255.066666666667</v>
      </c>
      <c r="Q24" s="12">
        <v>-273.438095238095</v>
      </c>
      <c r="R24" s="12">
        <v>-291.80952380952402</v>
      </c>
    </row>
    <row r="25" spans="1:18" s="66" customFormat="1" x14ac:dyDescent="0.25">
      <c r="A25" s="1"/>
      <c r="B25" s="1"/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2"/>
    </row>
    <row r="26" spans="1:18" s="66" customFormat="1" x14ac:dyDescent="0.25">
      <c r="A26" s="1"/>
      <c r="B26" s="1" t="s">
        <v>13</v>
      </c>
      <c r="C26" s="12">
        <f>SUM(C18:C24)</f>
        <v>2434.0559592263462</v>
      </c>
      <c r="D26" s="12">
        <f>SUM(D18:D24)</f>
        <v>2351.0515330070907</v>
      </c>
      <c r="E26" s="12">
        <f>SUM(E18:E24)</f>
        <v>2591.0517627638251</v>
      </c>
      <c r="F26" s="12">
        <f>SUM(F18:F24)</f>
        <v>2720.0550191038556</v>
      </c>
      <c r="G26" s="12">
        <f>SUM(G18:G24)</f>
        <v>2485.0452719505197</v>
      </c>
      <c r="H26" s="12">
        <f>SUM(H18:H24)</f>
        <v>2519.0423782891035</v>
      </c>
      <c r="I26" s="50">
        <f t="shared" ref="I26:R26" si="5">SUM(I18:I24)</f>
        <v>3239.0558846666677</v>
      </c>
      <c r="J26" s="12">
        <f t="shared" si="5"/>
        <v>3303.0043100340954</v>
      </c>
      <c r="K26" s="12">
        <f t="shared" si="5"/>
        <v>3338.5514971830748</v>
      </c>
      <c r="L26" s="12">
        <f t="shared" si="5"/>
        <v>3777.8002441402368</v>
      </c>
      <c r="M26" s="12">
        <f t="shared" si="5"/>
        <v>3819.0503842127764</v>
      </c>
      <c r="N26" s="12">
        <f t="shared" si="5"/>
        <v>3860.798268823331</v>
      </c>
      <c r="O26" s="12">
        <f t="shared" si="5"/>
        <v>3903.0498709063531</v>
      </c>
      <c r="P26" s="12">
        <f t="shared" si="5"/>
        <v>3866.9963531496701</v>
      </c>
      <c r="Q26" s="12">
        <f t="shared" si="5"/>
        <v>3831.301084856269</v>
      </c>
      <c r="R26" s="12">
        <f t="shared" si="5"/>
        <v>3795.9604835315149</v>
      </c>
    </row>
    <row r="27" spans="1:18" s="66" customFormat="1" x14ac:dyDescent="0.25">
      <c r="A27" s="1"/>
      <c r="B27" s="14" t="s">
        <v>17</v>
      </c>
      <c r="C27" s="15">
        <f>C26/C11</f>
        <v>6.3618817543814585E-2</v>
      </c>
      <c r="D27" s="15">
        <f>D26/D11</f>
        <v>5.8699978353317951E-2</v>
      </c>
      <c r="E27" s="15">
        <f>E26/E11</f>
        <v>6.1102505901752743E-2</v>
      </c>
      <c r="F27" s="15">
        <f>F26/F11</f>
        <v>6.2986106729277652E-2</v>
      </c>
      <c r="G27" s="15">
        <f>G26/G11</f>
        <v>5.2818237836096828E-2</v>
      </c>
      <c r="H27" s="15">
        <f>H26/H11</f>
        <v>4.7277549234058469E-2</v>
      </c>
      <c r="I27" s="51">
        <f>I26/I11</f>
        <v>5.8848798636160708E-2</v>
      </c>
      <c r="J27" s="81">
        <f>J26/J11</f>
        <v>5.8718831541417132E-2</v>
      </c>
      <c r="K27" s="81">
        <f>K26/K11</f>
        <v>5.8647004086476863E-2</v>
      </c>
      <c r="L27" s="81">
        <f>L26/L11</f>
        <v>6.5576197459944932E-2</v>
      </c>
      <c r="M27" s="81">
        <f>M26/M11</f>
        <v>6.5506155976347485E-2</v>
      </c>
      <c r="N27" s="81">
        <f>N26/N11</f>
        <v>6.5436991513090348E-2</v>
      </c>
      <c r="O27" s="81">
        <f>O26/O11</f>
        <v>6.5368693119470855E-2</v>
      </c>
      <c r="P27" s="81">
        <f>P26/P11</f>
        <v>6.5419055536310403E-2</v>
      </c>
      <c r="Q27" s="81">
        <f>Q26/Q11</f>
        <v>6.5469887605778751E-2</v>
      </c>
      <c r="R27" s="81">
        <f>R26/R11</f>
        <v>6.5521193677309963E-2</v>
      </c>
    </row>
    <row r="28" spans="1:18" s="66" customFormat="1" x14ac:dyDescent="0.25">
      <c r="A28" s="1"/>
      <c r="B28" s="1"/>
      <c r="C28" s="15"/>
      <c r="D28" s="15"/>
      <c r="E28" s="15"/>
      <c r="F28" s="15"/>
      <c r="G28" s="15"/>
      <c r="H28" s="15"/>
      <c r="I28" s="23"/>
      <c r="J28" s="15"/>
      <c r="K28" s="15"/>
      <c r="L28" s="15"/>
      <c r="M28" s="15"/>
      <c r="N28" s="15"/>
      <c r="O28" s="15"/>
      <c r="P28" s="15"/>
      <c r="Q28" s="15"/>
      <c r="R28" s="15"/>
    </row>
    <row r="29" spans="1:18" s="66" customFormat="1" x14ac:dyDescent="0.25">
      <c r="A29" s="1"/>
      <c r="B29" s="1" t="s">
        <v>14</v>
      </c>
      <c r="C29" s="12">
        <f>C16-C18-C19</f>
        <v>2921</v>
      </c>
      <c r="D29" s="12">
        <f>D16-D18-D19</f>
        <v>3032</v>
      </c>
      <c r="E29" s="12">
        <f>E16-E18-E19</f>
        <v>2827</v>
      </c>
      <c r="F29" s="12">
        <f>F16-F18-F19</f>
        <v>3008</v>
      </c>
      <c r="G29" s="12">
        <f>G16-G18-G19</f>
        <v>4396</v>
      </c>
      <c r="H29" s="12">
        <f>H16-H18-H19</f>
        <v>4410</v>
      </c>
      <c r="I29" s="50">
        <f>I16-I18-I19</f>
        <v>1662.2172412</v>
      </c>
      <c r="J29" s="12">
        <f>J16-J18-J19</f>
        <v>2221.9221129139996</v>
      </c>
      <c r="K29" s="12">
        <f>K16-K18-K19</f>
        <v>3472.4986297318242</v>
      </c>
      <c r="L29" s="12">
        <f>L16-L18-L19</f>
        <v>3744.6058994058913</v>
      </c>
      <c r="M29" s="12">
        <f>M16-M18-M19</f>
        <v>3789.5411701987618</v>
      </c>
      <c r="N29" s="12">
        <f>N16-N18-N19</f>
        <v>3835.0156642411475</v>
      </c>
      <c r="O29" s="12">
        <f>O16-O18-O19</f>
        <v>3881.0358522120414</v>
      </c>
      <c r="P29" s="12">
        <f>P16-P18-P19</f>
        <v>3842.2254936899208</v>
      </c>
      <c r="Q29" s="12">
        <f>Q16-Q18-Q19</f>
        <v>3803.8032387530216</v>
      </c>
      <c r="R29" s="12">
        <f>R16-R18-R19</f>
        <v>3765.7652063654914</v>
      </c>
    </row>
    <row r="30" spans="1:18" s="66" customFormat="1" x14ac:dyDescent="0.25">
      <c r="A30" s="1"/>
      <c r="B30" s="1"/>
      <c r="C30" s="26"/>
      <c r="D30" s="26"/>
      <c r="E30" s="26"/>
      <c r="F30" s="26"/>
      <c r="G30" s="26"/>
      <c r="H30" s="26"/>
      <c r="I30" s="27"/>
      <c r="J30" s="2"/>
      <c r="K30" s="2"/>
      <c r="L30" s="2"/>
      <c r="M30" s="2"/>
      <c r="N30" s="2"/>
      <c r="O30" s="2"/>
      <c r="P30" s="2"/>
      <c r="Q30" s="2"/>
      <c r="R30" s="2"/>
    </row>
    <row r="31" spans="1:18" s="66" customFormat="1" x14ac:dyDescent="0.25">
      <c r="A31" s="1"/>
      <c r="B31" s="1" t="s">
        <v>15</v>
      </c>
      <c r="C31" s="12">
        <f>C29-C23-C24-C22</f>
        <v>2628</v>
      </c>
      <c r="D31" s="12">
        <f>D29-D23-D24-D22</f>
        <v>2745</v>
      </c>
      <c r="E31" s="12">
        <f>E29-E23-E24-E22</f>
        <v>2431</v>
      </c>
      <c r="F31" s="12">
        <f>F29-F23-F24-F22</f>
        <v>2664</v>
      </c>
      <c r="G31" s="12">
        <f>G29-G23-G24-G22</f>
        <v>4041</v>
      </c>
      <c r="H31" s="12">
        <f>H29-H23-H24-H22</f>
        <v>4149</v>
      </c>
      <c r="I31" s="50">
        <f>I29-I23-I24-I22</f>
        <v>1340.3505745333321</v>
      </c>
      <c r="J31" s="12">
        <f t="shared" ref="I31:R31" si="6">J29-J23-J24-J22</f>
        <v>1900.2840176759037</v>
      </c>
      <c r="K31" s="12">
        <f t="shared" si="6"/>
        <v>3151.0891059223009</v>
      </c>
      <c r="L31" s="12">
        <f t="shared" si="6"/>
        <v>3423.4249470249383</v>
      </c>
      <c r="M31" s="12">
        <f t="shared" si="6"/>
        <v>3468.5887892463816</v>
      </c>
      <c r="N31" s="12">
        <f t="shared" si="6"/>
        <v>3514.2918547173367</v>
      </c>
      <c r="O31" s="12">
        <f t="shared" si="6"/>
        <v>3560.5406141168032</v>
      </c>
      <c r="P31" s="12">
        <f t="shared" si="6"/>
        <v>3521.9588270232539</v>
      </c>
      <c r="Q31" s="12">
        <f t="shared" si="6"/>
        <v>3483.7651435149264</v>
      </c>
      <c r="R31" s="12">
        <f t="shared" si="6"/>
        <v>3445.9556825559675</v>
      </c>
    </row>
    <row r="32" spans="1:18" s="66" customFormat="1" x14ac:dyDescent="0.25">
      <c r="A32" s="1"/>
      <c r="B32" s="1"/>
      <c r="C32" s="26"/>
      <c r="D32" s="26"/>
      <c r="E32" s="26"/>
      <c r="F32" s="26"/>
      <c r="G32" s="26"/>
      <c r="H32" s="26"/>
      <c r="I32" s="13"/>
      <c r="J32" s="1"/>
      <c r="K32" s="1"/>
      <c r="L32" s="1"/>
      <c r="M32" s="1"/>
      <c r="N32" s="1"/>
      <c r="O32" s="1"/>
      <c r="P32" s="1"/>
      <c r="Q32" s="1"/>
      <c r="R32" s="2"/>
    </row>
    <row r="33" spans="1:86" s="66" customFormat="1" x14ac:dyDescent="0.25">
      <c r="A33" s="1"/>
      <c r="B33" s="1" t="s">
        <v>16</v>
      </c>
      <c r="C33" s="12">
        <f>C29</f>
        <v>2921</v>
      </c>
      <c r="D33" s="12">
        <f>D29</f>
        <v>3032</v>
      </c>
      <c r="E33" s="12">
        <f>E29</f>
        <v>2827</v>
      </c>
      <c r="F33" s="12">
        <f>F29</f>
        <v>3008</v>
      </c>
      <c r="G33" s="12">
        <f>G29</f>
        <v>4396</v>
      </c>
      <c r="H33" s="12">
        <f>H29</f>
        <v>4410</v>
      </c>
      <c r="I33" s="24">
        <f>I34*I11</f>
        <v>4128.0229499999996</v>
      </c>
      <c r="J33" s="20">
        <f>J34*J11</f>
        <v>4218.8394548999995</v>
      </c>
      <c r="K33" s="20">
        <f>K34*K11</f>
        <v>4269.465528358799</v>
      </c>
      <c r="L33" s="20">
        <f>L34*L11</f>
        <v>4320.6991146991049</v>
      </c>
      <c r="M33" s="20">
        <f>M34*M11</f>
        <v>4372.5475040754945</v>
      </c>
      <c r="N33" s="20">
        <f>N34*N11</f>
        <v>4425.0180741244003</v>
      </c>
      <c r="O33" s="20">
        <f>O34*O11</f>
        <v>4478.1182910138932</v>
      </c>
      <c r="P33" s="20">
        <f>P34*P11</f>
        <v>4433.3371081037549</v>
      </c>
      <c r="Q33" s="20">
        <f>Q34*Q11</f>
        <v>4389.0037370227165</v>
      </c>
      <c r="R33" s="20">
        <f>R34*R11</f>
        <v>4345.1136996524892</v>
      </c>
    </row>
    <row r="34" spans="1:86" s="66" customFormat="1" x14ac:dyDescent="0.25">
      <c r="A34" s="1"/>
      <c r="B34" s="14" t="s">
        <v>17</v>
      </c>
      <c r="C34" s="15">
        <f>C33/C11</f>
        <v>7.634605331939362E-2</v>
      </c>
      <c r="D34" s="15">
        <f>D33/D11</f>
        <v>7.5701587935683615E-2</v>
      </c>
      <c r="E34" s="15">
        <f>E33/E11</f>
        <v>6.6666666666666666E-2</v>
      </c>
      <c r="F34" s="15">
        <f>F33/F11</f>
        <v>6.965381498205396E-2</v>
      </c>
      <c r="G34" s="15">
        <f>G33/G11</f>
        <v>9.3434504452804518E-2</v>
      </c>
      <c r="H34" s="15">
        <f>H33/H11</f>
        <v>8.276716339476746E-2</v>
      </c>
      <c r="I34" s="51">
        <v>7.4999999999999997E-2</v>
      </c>
      <c r="J34" s="49">
        <v>7.4999999999999997E-2</v>
      </c>
      <c r="K34" s="49">
        <v>7.4999999999999997E-2</v>
      </c>
      <c r="L34" s="49">
        <v>7.4999999999999997E-2</v>
      </c>
      <c r="M34" s="49">
        <v>7.4999999999999997E-2</v>
      </c>
      <c r="N34" s="49">
        <v>7.4999999999999997E-2</v>
      </c>
      <c r="O34" s="49">
        <v>7.4999999999999997E-2</v>
      </c>
      <c r="P34" s="49">
        <v>7.4999999999999997E-2</v>
      </c>
      <c r="Q34" s="49">
        <v>7.4999999999999997E-2</v>
      </c>
      <c r="R34" s="49">
        <v>7.4999999999999997E-2</v>
      </c>
    </row>
    <row r="35" spans="1:86" s="66" customFormat="1" x14ac:dyDescent="0.25">
      <c r="A35" s="1"/>
      <c r="B35" s="14"/>
      <c r="C35" s="1"/>
      <c r="D35" s="1"/>
      <c r="E35" s="2"/>
      <c r="F35" s="1"/>
      <c r="G35" s="1"/>
      <c r="H35" s="1"/>
      <c r="I35" s="13"/>
      <c r="J35" s="71"/>
      <c r="K35" s="71"/>
      <c r="L35" s="71"/>
      <c r="M35" s="71"/>
      <c r="N35" s="71"/>
      <c r="O35" s="72"/>
      <c r="P35" s="72"/>
      <c r="Q35" s="72"/>
      <c r="R35" s="72"/>
    </row>
    <row r="36" spans="1:86" s="66" customFormat="1" x14ac:dyDescent="0.25">
      <c r="A36" s="1"/>
      <c r="B36" s="1" t="s">
        <v>18</v>
      </c>
      <c r="C36" s="12">
        <v>850</v>
      </c>
      <c r="D36" s="12">
        <v>-282</v>
      </c>
      <c r="E36" s="28">
        <v>396</v>
      </c>
      <c r="F36" s="12">
        <v>593</v>
      </c>
      <c r="G36" s="12">
        <v>981</v>
      </c>
      <c r="H36" s="12">
        <v>900</v>
      </c>
      <c r="I36" s="24">
        <f>I33*I37</f>
        <v>813.22052114999997</v>
      </c>
      <c r="J36" s="69">
        <f t="shared" ref="J36:R36" si="7">J33*J37</f>
        <v>843.76789097999995</v>
      </c>
      <c r="K36" s="69">
        <f t="shared" si="7"/>
        <v>853.89310567175983</v>
      </c>
      <c r="L36" s="69">
        <f t="shared" si="7"/>
        <v>864.13982293982099</v>
      </c>
      <c r="M36" s="69">
        <f t="shared" si="7"/>
        <v>874.50950081509893</v>
      </c>
      <c r="N36" s="69">
        <f t="shared" si="7"/>
        <v>885.00361482488006</v>
      </c>
      <c r="O36" s="69">
        <f t="shared" si="7"/>
        <v>895.62365820277864</v>
      </c>
      <c r="P36" s="69">
        <f t="shared" si="7"/>
        <v>886.66742162075104</v>
      </c>
      <c r="Q36" s="69">
        <f t="shared" si="7"/>
        <v>877.80074740454336</v>
      </c>
      <c r="R36" s="69">
        <f t="shared" si="7"/>
        <v>869.02273993049789</v>
      </c>
    </row>
    <row r="37" spans="1:86" s="66" customFormat="1" x14ac:dyDescent="0.25">
      <c r="A37" s="1"/>
      <c r="B37" s="14" t="s">
        <v>19</v>
      </c>
      <c r="C37" s="25">
        <f>C36/C33</f>
        <v>0.29099623416638137</v>
      </c>
      <c r="D37" s="25">
        <f>D36/D33</f>
        <v>-9.3007915567282329E-2</v>
      </c>
      <c r="E37" s="25">
        <f>E36/E33</f>
        <v>0.14007782101167315</v>
      </c>
      <c r="F37" s="25">
        <f>F36/F33</f>
        <v>0.19714095744680851</v>
      </c>
      <c r="G37" s="25">
        <f>G36/G33</f>
        <v>0.22315741583257506</v>
      </c>
      <c r="H37" s="25">
        <f>H36/H33</f>
        <v>0.20408163265306123</v>
      </c>
      <c r="I37" s="77">
        <v>0.19700000000000001</v>
      </c>
      <c r="J37" s="73">
        <v>0.2</v>
      </c>
      <c r="K37" s="73">
        <v>0.2</v>
      </c>
      <c r="L37" s="73">
        <v>0.2</v>
      </c>
      <c r="M37" s="73">
        <v>0.2</v>
      </c>
      <c r="N37" s="73">
        <v>0.2</v>
      </c>
      <c r="O37" s="73">
        <v>0.2</v>
      </c>
      <c r="P37" s="73">
        <v>0.2</v>
      </c>
      <c r="Q37" s="73">
        <v>0.2</v>
      </c>
      <c r="R37" s="73">
        <v>0.2</v>
      </c>
    </row>
    <row r="38" spans="1:86" s="66" customFormat="1" x14ac:dyDescent="0.25">
      <c r="A38" s="1"/>
      <c r="B38" s="1"/>
      <c r="C38" s="1"/>
      <c r="D38" s="1"/>
      <c r="E38" s="1"/>
      <c r="F38" s="1"/>
      <c r="G38" s="1"/>
      <c r="H38" s="1"/>
      <c r="I38" s="16"/>
      <c r="J38" s="1"/>
      <c r="K38" s="1"/>
      <c r="L38" s="1"/>
      <c r="M38" s="1"/>
      <c r="N38" s="1"/>
      <c r="O38" s="1"/>
      <c r="P38" s="1"/>
      <c r="Q38" s="1"/>
      <c r="R38" s="2"/>
    </row>
    <row r="39" spans="1:86" s="66" customFormat="1" x14ac:dyDescent="0.25">
      <c r="A39" s="1"/>
      <c r="B39" s="9" t="s">
        <v>20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29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66" customFormat="1" x14ac:dyDescent="0.25">
      <c r="A40" s="1"/>
      <c r="B40" s="1" t="s">
        <v>21</v>
      </c>
      <c r="C40" s="12">
        <f>642+119</f>
        <v>761</v>
      </c>
      <c r="D40" s="12">
        <f>723+220</f>
        <v>943</v>
      </c>
      <c r="E40" s="28">
        <f>819+279</f>
        <v>1098</v>
      </c>
      <c r="F40" s="12">
        <v>1237</v>
      </c>
      <c r="G40" s="12">
        <v>1225</v>
      </c>
      <c r="H40" s="12">
        <v>1202</v>
      </c>
      <c r="I40" s="24">
        <f>I41*I11</f>
        <v>1265.9270379999998</v>
      </c>
      <c r="J40" s="20">
        <f>J41*J11</f>
        <v>1293.7774328359999</v>
      </c>
      <c r="K40" s="20">
        <f>K41*K11</f>
        <v>1309.3027620300318</v>
      </c>
      <c r="L40" s="20">
        <f>L41*L11</f>
        <v>1325.0143951743921</v>
      </c>
      <c r="M40" s="20">
        <f>M41*M11</f>
        <v>1340.9145679164849</v>
      </c>
      <c r="N40" s="20">
        <f>N41*N11</f>
        <v>1357.0055427314828</v>
      </c>
      <c r="O40" s="20">
        <f>O41*O11</f>
        <v>1373.2896092442606</v>
      </c>
      <c r="P40" s="20">
        <f>P41*P11</f>
        <v>1359.556713151818</v>
      </c>
      <c r="Q40" s="20">
        <f>Q41*Q11</f>
        <v>1345.9611460202998</v>
      </c>
      <c r="R40" s="20">
        <f>R41*R11</f>
        <v>1332.5015345600968</v>
      </c>
    </row>
    <row r="41" spans="1:86" s="66" customFormat="1" x14ac:dyDescent="0.25">
      <c r="A41" s="1"/>
      <c r="B41" s="14" t="s">
        <v>17</v>
      </c>
      <c r="C41" s="15">
        <f>C40/C11</f>
        <v>1.989022477783586E-2</v>
      </c>
      <c r="D41" s="15">
        <f>D40/D11</f>
        <v>2.3544392290022972E-2</v>
      </c>
      <c r="E41" s="15">
        <f>E40/E11</f>
        <v>2.5893172974885036E-2</v>
      </c>
      <c r="F41" s="15">
        <f>F40/F11</f>
        <v>2.8644205163830032E-2</v>
      </c>
      <c r="G41" s="15">
        <f>G40/G11</f>
        <v>2.6036685158026738E-2</v>
      </c>
      <c r="H41" s="15">
        <f>H40/H11</f>
        <v>2.2559213242746144E-2</v>
      </c>
      <c r="I41" s="51">
        <v>2.3E-2</v>
      </c>
      <c r="J41" s="49">
        <v>2.3E-2</v>
      </c>
      <c r="K41" s="49">
        <v>2.3E-2</v>
      </c>
      <c r="L41" s="49">
        <v>2.3E-2</v>
      </c>
      <c r="M41" s="49">
        <v>2.3E-2</v>
      </c>
      <c r="N41" s="49">
        <v>2.3E-2</v>
      </c>
      <c r="O41" s="49">
        <v>2.3E-2</v>
      </c>
      <c r="P41" s="49">
        <v>2.3E-2</v>
      </c>
      <c r="Q41" s="49">
        <v>2.3E-2</v>
      </c>
      <c r="R41" s="49">
        <v>2.3E-2</v>
      </c>
    </row>
    <row r="42" spans="1:86" s="66" customFormat="1" x14ac:dyDescent="0.25">
      <c r="A42" s="1"/>
      <c r="B42" s="1"/>
      <c r="C42" s="1"/>
      <c r="D42" s="1"/>
      <c r="E42" s="2"/>
      <c r="F42" s="1"/>
      <c r="G42" s="1"/>
      <c r="H42" s="1"/>
      <c r="I42" s="13"/>
      <c r="J42" s="71"/>
      <c r="K42" s="71"/>
      <c r="L42" s="71"/>
      <c r="M42" s="71"/>
      <c r="N42" s="71"/>
      <c r="O42" s="72"/>
      <c r="P42" s="72"/>
      <c r="Q42" s="72"/>
      <c r="R42" s="72"/>
    </row>
    <row r="43" spans="1:86" s="66" customFormat="1" x14ac:dyDescent="0.25">
      <c r="A43" s="1"/>
      <c r="B43" s="1" t="s">
        <v>22</v>
      </c>
      <c r="C43" s="12">
        <v>-1069</v>
      </c>
      <c r="D43" s="12">
        <v>-1200</v>
      </c>
      <c r="E43" s="28">
        <v>-1259</v>
      </c>
      <c r="F43" s="48">
        <v>-1199</v>
      </c>
      <c r="G43" s="12">
        <v>-1209</v>
      </c>
      <c r="H43" s="12">
        <v>-1887</v>
      </c>
      <c r="I43" s="24">
        <f>I44*I11</f>
        <v>-1761.289792</v>
      </c>
      <c r="J43" s="69">
        <f>J44*J11</f>
        <v>-1800.038167424</v>
      </c>
      <c r="K43" s="69">
        <f>K44*K11</f>
        <v>-1821.6386254330878</v>
      </c>
      <c r="L43" s="69">
        <f>L44*L11</f>
        <v>-1843.498288938285</v>
      </c>
      <c r="M43" s="69">
        <f>M44*M11</f>
        <v>-1865.6202684055443</v>
      </c>
      <c r="N43" s="69">
        <f>N44*N11</f>
        <v>-1888.007711626411</v>
      </c>
      <c r="O43" s="69">
        <f>O44*O11</f>
        <v>-1910.663804165928</v>
      </c>
      <c r="P43" s="69">
        <f>P44*P11</f>
        <v>-1891.5571661242686</v>
      </c>
      <c r="Q43" s="69">
        <f>Q44*Q11</f>
        <v>-1872.641594463026</v>
      </c>
      <c r="R43" s="69">
        <f>R44*R11</f>
        <v>-1853.9151785183956</v>
      </c>
    </row>
    <row r="44" spans="1:86" s="66" customFormat="1" x14ac:dyDescent="0.25">
      <c r="A44" s="1"/>
      <c r="B44" s="14" t="s">
        <v>17</v>
      </c>
      <c r="C44" s="15">
        <f>C43/C11</f>
        <v>-2.7940407736539465E-2</v>
      </c>
      <c r="D44" s="15">
        <f>D43/D11</f>
        <v>-2.9961050634175573E-2</v>
      </c>
      <c r="E44" s="15">
        <f>E43/E11</f>
        <v>-2.9689895059544866E-2</v>
      </c>
      <c r="F44" s="15">
        <f>F43/F11</f>
        <v>-2.7764270001157811E-2</v>
      </c>
      <c r="G44" s="15">
        <f>G43/G11</f>
        <v>-2.5696614168207614E-2</v>
      </c>
      <c r="H44" s="15">
        <f>H43/H11</f>
        <v>-3.5415337262114786E-2</v>
      </c>
      <c r="I44" s="22">
        <v>-3.2000000000000001E-2</v>
      </c>
      <c r="J44" s="53">
        <v>-3.2000000000000001E-2</v>
      </c>
      <c r="K44" s="53">
        <v>-3.2000000000000001E-2</v>
      </c>
      <c r="L44" s="53">
        <v>-3.2000000000000001E-2</v>
      </c>
      <c r="M44" s="53">
        <v>-3.2000000000000001E-2</v>
      </c>
      <c r="N44" s="53">
        <v>-3.2000000000000001E-2</v>
      </c>
      <c r="O44" s="53">
        <v>-3.2000000000000001E-2</v>
      </c>
      <c r="P44" s="53">
        <v>-3.2000000000000001E-2</v>
      </c>
      <c r="Q44" s="53">
        <v>-3.2000000000000001E-2</v>
      </c>
      <c r="R44" s="53">
        <v>-3.2000000000000001E-2</v>
      </c>
    </row>
    <row r="45" spans="1:86" s="66" customFormat="1" x14ac:dyDescent="0.25">
      <c r="A45" s="1"/>
      <c r="B45" s="1"/>
      <c r="C45" s="1"/>
      <c r="D45" s="1"/>
      <c r="E45" s="2"/>
      <c r="F45" s="1"/>
      <c r="G45" s="1"/>
      <c r="H45" s="1"/>
      <c r="I45" s="13"/>
      <c r="J45" s="1"/>
      <c r="K45" s="1"/>
      <c r="L45" s="1"/>
      <c r="M45" s="1"/>
      <c r="N45" s="1"/>
      <c r="O45" s="2"/>
      <c r="P45" s="2"/>
      <c r="Q45" s="2"/>
      <c r="R45" s="2"/>
    </row>
    <row r="46" spans="1:86" s="66" customFormat="1" x14ac:dyDescent="0.25">
      <c r="A46" s="1"/>
      <c r="B46" s="1" t="s">
        <v>23</v>
      </c>
      <c r="C46" s="1">
        <v>150</v>
      </c>
      <c r="D46" s="1">
        <v>286</v>
      </c>
      <c r="E46" s="2">
        <v>846</v>
      </c>
      <c r="F46" s="1">
        <v>-580</v>
      </c>
      <c r="G46" s="1">
        <v>-381</v>
      </c>
      <c r="H46" s="1">
        <v>2104</v>
      </c>
      <c r="I46" s="24">
        <f>I47*I11</f>
        <v>449.231782808042</v>
      </c>
      <c r="J46" s="20">
        <f>J47*J11</f>
        <v>506.26073458799993</v>
      </c>
      <c r="K46" s="20">
        <f>K47*K11</f>
        <v>512.3358634030559</v>
      </c>
      <c r="L46" s="20">
        <f>L47*L11</f>
        <v>518.48389376389252</v>
      </c>
      <c r="M46" s="20">
        <f>M47*M11</f>
        <v>524.70570048905927</v>
      </c>
      <c r="N46" s="20">
        <f>N47*N11</f>
        <v>531.00216889492799</v>
      </c>
      <c r="O46" s="20">
        <f>O47*O11</f>
        <v>537.37419492166714</v>
      </c>
      <c r="P46" s="20">
        <f>P47*P11</f>
        <v>532.00045297245049</v>
      </c>
      <c r="Q46" s="20">
        <f>Q47*Q11</f>
        <v>526.68044844272595</v>
      </c>
      <c r="R46" s="20">
        <f>R47*R11</f>
        <v>521.41364395829874</v>
      </c>
    </row>
    <row r="47" spans="1:86" s="66" customFormat="1" x14ac:dyDescent="0.25">
      <c r="A47" s="1"/>
      <c r="B47" s="14" t="s">
        <v>17</v>
      </c>
      <c r="C47" s="15">
        <f>C46/C11</f>
        <v>3.9205436487192886E-3</v>
      </c>
      <c r="D47" s="15">
        <f>D46/D11</f>
        <v>7.1407170678118442E-3</v>
      </c>
      <c r="E47" s="15">
        <f>E46/E11</f>
        <v>1.9950477538026177E-2</v>
      </c>
      <c r="F47" s="15">
        <f>F46/F11</f>
        <v>-1.3430589324997105E-2</v>
      </c>
      <c r="G47" s="15">
        <f>G46/G11</f>
        <v>-8.0979404450679075E-3</v>
      </c>
      <c r="H47" s="15">
        <f>H46/H11</f>
        <v>3.9488007206936675E-2</v>
      </c>
      <c r="I47" s="79">
        <f>AVERAGE(C47:H47)</f>
        <v>8.161869281904828E-3</v>
      </c>
      <c r="J47" s="80">
        <v>8.9999999999999993E-3</v>
      </c>
      <c r="K47" s="80">
        <v>8.9999999999999993E-3</v>
      </c>
      <c r="L47" s="80">
        <v>8.9999999999999993E-3</v>
      </c>
      <c r="M47" s="80">
        <v>8.9999999999999993E-3</v>
      </c>
      <c r="N47" s="80">
        <v>8.9999999999999993E-3</v>
      </c>
      <c r="O47" s="80">
        <v>8.9999999999999993E-3</v>
      </c>
      <c r="P47" s="80">
        <v>8.9999999999999993E-3</v>
      </c>
      <c r="Q47" s="80">
        <v>8.9999999999999993E-3</v>
      </c>
      <c r="R47" s="80">
        <v>8.9999999999999993E-3</v>
      </c>
    </row>
    <row r="48" spans="1:86" s="66" customFormat="1" x14ac:dyDescent="0.25">
      <c r="A48" s="1"/>
      <c r="B48" s="1"/>
      <c r="C48" s="1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2"/>
    </row>
    <row r="49" spans="1:86" s="66" customFormat="1" x14ac:dyDescent="0.25">
      <c r="A49" s="1"/>
      <c r="B49" s="9" t="s">
        <v>24</v>
      </c>
      <c r="C49" s="12">
        <f>C33-C36</f>
        <v>2071</v>
      </c>
      <c r="D49" s="12">
        <f>D33-D36</f>
        <v>3314</v>
      </c>
      <c r="E49" s="12">
        <f>E33-E36</f>
        <v>2431</v>
      </c>
      <c r="F49" s="12">
        <f>F33-F36</f>
        <v>2415</v>
      </c>
      <c r="G49" s="12">
        <f>G33-G36</f>
        <v>3415</v>
      </c>
      <c r="H49" s="12">
        <f>H33-H36</f>
        <v>3510</v>
      </c>
      <c r="I49" s="50">
        <f t="shared" ref="C49:I49" si="8">I33-I36</f>
        <v>3314.8024288499996</v>
      </c>
      <c r="J49" s="12">
        <f t="shared" ref="J49:R49" si="9">J33-J36</f>
        <v>3375.0715639199998</v>
      </c>
      <c r="K49" s="12">
        <f t="shared" si="9"/>
        <v>3415.5724226870393</v>
      </c>
      <c r="L49" s="12">
        <f t="shared" si="9"/>
        <v>3456.559291759284</v>
      </c>
      <c r="M49" s="12">
        <f t="shared" si="9"/>
        <v>3498.0380032603957</v>
      </c>
      <c r="N49" s="12">
        <f t="shared" si="9"/>
        <v>3540.0144592995202</v>
      </c>
      <c r="O49" s="12">
        <f t="shared" si="9"/>
        <v>3582.4946328111146</v>
      </c>
      <c r="P49" s="12">
        <f t="shared" si="9"/>
        <v>3546.6696864830037</v>
      </c>
      <c r="Q49" s="12">
        <f t="shared" si="9"/>
        <v>3511.202989618173</v>
      </c>
      <c r="R49" s="12">
        <f t="shared" si="9"/>
        <v>3476.0909597219916</v>
      </c>
    </row>
    <row r="50" spans="1:86" s="66" customFormat="1" x14ac:dyDescent="0.25">
      <c r="A50" s="1"/>
      <c r="B50" s="9" t="s">
        <v>54</v>
      </c>
      <c r="C50" s="12">
        <v>4</v>
      </c>
      <c r="D50" s="12">
        <v>3</v>
      </c>
      <c r="E50" s="12">
        <v>13</v>
      </c>
      <c r="F50" s="12">
        <v>10</v>
      </c>
      <c r="G50" s="12">
        <v>13</v>
      </c>
      <c r="H50">
        <v>11</v>
      </c>
      <c r="I50" s="50">
        <v>15.2</v>
      </c>
      <c r="J50" s="12">
        <v>16.9714285714286</v>
      </c>
      <c r="K50" s="12">
        <v>18.742857142857201</v>
      </c>
      <c r="L50" s="12">
        <v>20.514285714285698</v>
      </c>
      <c r="M50" s="12">
        <v>22.285714285714299</v>
      </c>
      <c r="N50" s="78">
        <v>24.0571428571429</v>
      </c>
      <c r="O50" s="12">
        <v>25.8285714285715</v>
      </c>
      <c r="P50" s="12">
        <v>27.6</v>
      </c>
      <c r="Q50" s="12">
        <v>29.371428571428599</v>
      </c>
      <c r="R50" s="12">
        <v>31.142857142857199</v>
      </c>
    </row>
    <row r="51" spans="1:86" s="66" customFormat="1" x14ac:dyDescent="0.25">
      <c r="A51" s="1"/>
      <c r="B51" s="9" t="s">
        <v>25</v>
      </c>
      <c r="C51" s="12">
        <f>C31-C36-C50</f>
        <v>1774</v>
      </c>
      <c r="D51" s="12">
        <f>D31-D36-D50</f>
        <v>3024</v>
      </c>
      <c r="E51" s="12">
        <f>E31-E36-E50</f>
        <v>2022</v>
      </c>
      <c r="F51" s="12">
        <f>F31-F36-F50</f>
        <v>2061</v>
      </c>
      <c r="G51" s="12">
        <f>G31-G36-G50</f>
        <v>3047</v>
      </c>
      <c r="H51" s="12">
        <f>H31-H36-H50</f>
        <v>3238</v>
      </c>
      <c r="I51" s="50">
        <f t="shared" ref="I51:R51" si="10">I31-I36-I50</f>
        <v>511.93005338333211</v>
      </c>
      <c r="J51" s="12">
        <f t="shared" si="10"/>
        <v>1039.5446981244752</v>
      </c>
      <c r="K51" s="12">
        <f t="shared" si="10"/>
        <v>2278.4531431076839</v>
      </c>
      <c r="L51" s="12">
        <f t="shared" si="10"/>
        <v>2538.7708383708318</v>
      </c>
      <c r="M51" s="12">
        <f t="shared" si="10"/>
        <v>2571.7935741455685</v>
      </c>
      <c r="N51" s="12">
        <f t="shared" si="10"/>
        <v>2605.2310970353137</v>
      </c>
      <c r="O51" s="12">
        <f t="shared" si="10"/>
        <v>2639.0883844854529</v>
      </c>
      <c r="P51" s="12">
        <f t="shared" si="10"/>
        <v>2607.6914054025028</v>
      </c>
      <c r="Q51" s="12">
        <f t="shared" si="10"/>
        <v>2576.5929675389543</v>
      </c>
      <c r="R51" s="12">
        <f t="shared" si="10"/>
        <v>2545.7900854826125</v>
      </c>
      <c r="S51" s="67">
        <f>R51*(1+$E$6)</f>
        <v>2520.3321846277863</v>
      </c>
      <c r="T51" s="67">
        <f t="shared" ref="T51:CE51" si="11">S51*(1+$E$6)</f>
        <v>2495.1288627815084</v>
      </c>
      <c r="U51" s="67">
        <f t="shared" si="11"/>
        <v>2470.1775741536931</v>
      </c>
      <c r="V51" s="67">
        <f t="shared" si="11"/>
        <v>2445.4757984121561</v>
      </c>
      <c r="W51" s="67">
        <f t="shared" si="11"/>
        <v>2421.0210404280347</v>
      </c>
      <c r="X51" s="67">
        <f t="shared" si="11"/>
        <v>2396.8108300237541</v>
      </c>
      <c r="Y51" s="67">
        <f t="shared" si="11"/>
        <v>2372.8427217235167</v>
      </c>
      <c r="Z51" s="67">
        <f t="shared" si="11"/>
        <v>2349.1142945062816</v>
      </c>
      <c r="AA51" s="67">
        <f t="shared" si="11"/>
        <v>2325.6231515612189</v>
      </c>
      <c r="AB51" s="67">
        <f t="shared" si="11"/>
        <v>2302.3669200456065</v>
      </c>
      <c r="AC51" s="67">
        <f t="shared" si="11"/>
        <v>2279.3432508451506</v>
      </c>
      <c r="AD51" s="67">
        <f t="shared" si="11"/>
        <v>2256.549818336699</v>
      </c>
      <c r="AE51" s="67">
        <f t="shared" si="11"/>
        <v>2233.9843201533322</v>
      </c>
      <c r="AF51" s="67">
        <f t="shared" si="11"/>
        <v>2211.6444769517989</v>
      </c>
      <c r="AG51" s="67">
        <f t="shared" si="11"/>
        <v>2189.5280321822811</v>
      </c>
      <c r="AH51" s="67">
        <f t="shared" si="11"/>
        <v>2167.6327518604585</v>
      </c>
      <c r="AI51" s="67">
        <f t="shared" si="11"/>
        <v>2145.956424341854</v>
      </c>
      <c r="AJ51" s="67">
        <f t="shared" si="11"/>
        <v>2124.4968600984353</v>
      </c>
      <c r="AK51" s="67">
        <f t="shared" si="11"/>
        <v>2103.2518914974507</v>
      </c>
      <c r="AL51" s="67">
        <f t="shared" si="11"/>
        <v>2082.2193725824764</v>
      </c>
      <c r="AM51" s="67">
        <f t="shared" si="11"/>
        <v>2061.3971788566514</v>
      </c>
      <c r="AN51" s="67">
        <f t="shared" si="11"/>
        <v>2040.7832070680849</v>
      </c>
      <c r="AO51" s="67">
        <f t="shared" si="11"/>
        <v>2020.3753749974042</v>
      </c>
      <c r="AP51" s="67">
        <f t="shared" si="11"/>
        <v>2000.17162124743</v>
      </c>
      <c r="AQ51" s="67">
        <f t="shared" si="11"/>
        <v>1980.1699050349557</v>
      </c>
      <c r="AR51" s="67">
        <f t="shared" si="11"/>
        <v>1960.3682059846062</v>
      </c>
      <c r="AS51" s="67">
        <f t="shared" si="11"/>
        <v>1940.7645239247602</v>
      </c>
      <c r="AT51" s="67">
        <f t="shared" si="11"/>
        <v>1921.3568786855126</v>
      </c>
      <c r="AU51" s="67">
        <f t="shared" si="11"/>
        <v>1902.1433098986574</v>
      </c>
      <c r="AV51" s="67">
        <f t="shared" si="11"/>
        <v>1883.1218767996709</v>
      </c>
      <c r="AW51" s="67">
        <f t="shared" si="11"/>
        <v>1864.2906580316742</v>
      </c>
      <c r="AX51" s="67">
        <f t="shared" si="11"/>
        <v>1845.6477514513574</v>
      </c>
      <c r="AY51" s="67">
        <f t="shared" si="11"/>
        <v>1827.1912739368438</v>
      </c>
      <c r="AZ51" s="67">
        <f t="shared" si="11"/>
        <v>1808.9193611974754</v>
      </c>
      <c r="BA51" s="67">
        <f t="shared" si="11"/>
        <v>1790.8301675855007</v>
      </c>
      <c r="BB51" s="67">
        <f t="shared" si="11"/>
        <v>1772.9218659096457</v>
      </c>
      <c r="BC51" s="67">
        <f t="shared" si="11"/>
        <v>1755.1926472505493</v>
      </c>
      <c r="BD51" s="67">
        <f t="shared" si="11"/>
        <v>1737.6407207780437</v>
      </c>
      <c r="BE51" s="67">
        <f t="shared" si="11"/>
        <v>1720.2643135702633</v>
      </c>
      <c r="BF51" s="67">
        <f t="shared" si="11"/>
        <v>1703.0616704345607</v>
      </c>
      <c r="BG51" s="67">
        <f t="shared" si="11"/>
        <v>1686.031053730215</v>
      </c>
      <c r="BH51" s="67">
        <f t="shared" si="11"/>
        <v>1669.1707431929128</v>
      </c>
      <c r="BI51" s="67">
        <f t="shared" si="11"/>
        <v>1652.4790357609836</v>
      </c>
      <c r="BJ51" s="67">
        <f t="shared" si="11"/>
        <v>1635.9542454033738</v>
      </c>
      <c r="BK51" s="67">
        <f t="shared" si="11"/>
        <v>1619.59470294934</v>
      </c>
      <c r="BL51" s="67">
        <f t="shared" si="11"/>
        <v>1603.3987559198465</v>
      </c>
      <c r="BM51" s="67">
        <f t="shared" si="11"/>
        <v>1587.364768360648</v>
      </c>
      <c r="BN51" s="67">
        <f t="shared" si="11"/>
        <v>1571.4911206770414</v>
      </c>
      <c r="BO51" s="67">
        <f t="shared" si="11"/>
        <v>1555.7762094702709</v>
      </c>
      <c r="BP51" s="67">
        <f t="shared" si="11"/>
        <v>1540.2184473755683</v>
      </c>
      <c r="BQ51" s="67">
        <f t="shared" si="11"/>
        <v>1524.8162629018127</v>
      </c>
      <c r="BR51" s="67">
        <f t="shared" si="11"/>
        <v>1509.5681002727945</v>
      </c>
      <c r="BS51" s="67">
        <f t="shared" si="11"/>
        <v>1494.4724192700664</v>
      </c>
      <c r="BT51" s="67">
        <f t="shared" si="11"/>
        <v>1479.5276950773657</v>
      </c>
      <c r="BU51" s="67">
        <f t="shared" si="11"/>
        <v>1464.7324181265919</v>
      </c>
      <c r="BV51" s="67">
        <f t="shared" si="11"/>
        <v>1450.085093945326</v>
      </c>
      <c r="BW51" s="67">
        <f t="shared" si="11"/>
        <v>1435.5842430058726</v>
      </c>
      <c r="BX51" s="67">
        <f t="shared" si="11"/>
        <v>1421.2284005758138</v>
      </c>
      <c r="BY51" s="67">
        <f t="shared" si="11"/>
        <v>1407.0161165700556</v>
      </c>
      <c r="BZ51" s="67">
        <f t="shared" si="11"/>
        <v>1392.9459554043551</v>
      </c>
      <c r="CA51" s="67">
        <f t="shared" si="11"/>
        <v>1379.0164958503115</v>
      </c>
      <c r="CB51" s="67">
        <f t="shared" si="11"/>
        <v>1365.2263308918084</v>
      </c>
      <c r="CC51" s="67">
        <f t="shared" si="11"/>
        <v>1351.5740675828904</v>
      </c>
      <c r="CD51" s="67">
        <f t="shared" si="11"/>
        <v>1338.0583269070614</v>
      </c>
      <c r="CE51" s="67">
        <f t="shared" si="11"/>
        <v>1324.6777436379907</v>
      </c>
      <c r="CF51" s="67">
        <f t="shared" ref="CF51:CH51" si="12">CE51*(1+$E$6)</f>
        <v>1311.4309662016108</v>
      </c>
      <c r="CG51" s="67">
        <f t="shared" si="12"/>
        <v>1298.3166565395948</v>
      </c>
      <c r="CH51" s="67">
        <f t="shared" si="12"/>
        <v>1285.3334899741988</v>
      </c>
    </row>
    <row r="52" spans="1:86" s="66" customFormat="1" x14ac:dyDescent="0.25">
      <c r="A52" s="1"/>
      <c r="B52" s="6"/>
      <c r="C52" s="12"/>
      <c r="D52" s="12"/>
      <c r="E52" s="12"/>
      <c r="F52" s="12"/>
      <c r="G52" s="12"/>
      <c r="H52" s="12"/>
      <c r="I52" s="13"/>
      <c r="J52" s="1"/>
      <c r="K52" s="1"/>
      <c r="L52" s="1"/>
      <c r="M52" s="1"/>
      <c r="N52" s="1"/>
      <c r="O52" s="1"/>
      <c r="P52" s="1"/>
      <c r="Q52" s="1"/>
      <c r="R52" s="2"/>
    </row>
    <row r="53" spans="1:86" s="66" customFormat="1" x14ac:dyDescent="0.25">
      <c r="A53" s="1"/>
      <c r="B53" s="9" t="s">
        <v>26</v>
      </c>
      <c r="C53" s="30">
        <f>C49+C40+C43-C46</f>
        <v>1613</v>
      </c>
      <c r="D53" s="30">
        <f t="shared" ref="D53:R53" si="13">D49+D40+D43-D46</f>
        <v>2771</v>
      </c>
      <c r="E53" s="30">
        <f t="shared" si="13"/>
        <v>1424</v>
      </c>
      <c r="F53" s="30">
        <f t="shared" si="13"/>
        <v>3033</v>
      </c>
      <c r="G53" s="30">
        <f t="shared" si="13"/>
        <v>3812</v>
      </c>
      <c r="H53" s="30">
        <f t="shared" si="13"/>
        <v>721</v>
      </c>
      <c r="I53" s="74">
        <f t="shared" si="13"/>
        <v>2370.2078920419581</v>
      </c>
      <c r="J53" s="30">
        <f t="shared" si="13"/>
        <v>2362.550094744</v>
      </c>
      <c r="K53" s="30">
        <f t="shared" si="13"/>
        <v>2390.9006958809277</v>
      </c>
      <c r="L53" s="30">
        <f t="shared" si="13"/>
        <v>2419.5915042314987</v>
      </c>
      <c r="M53" s="30">
        <f t="shared" si="13"/>
        <v>2448.6266022822765</v>
      </c>
      <c r="N53" s="30">
        <f t="shared" si="13"/>
        <v>2478.0101215096638</v>
      </c>
      <c r="O53" s="30">
        <f t="shared" si="13"/>
        <v>2507.7462429677798</v>
      </c>
      <c r="P53" s="30">
        <f t="shared" si="13"/>
        <v>2482.668780538103</v>
      </c>
      <c r="Q53" s="30">
        <f t="shared" si="13"/>
        <v>2457.8420927327206</v>
      </c>
      <c r="R53" s="30">
        <f t="shared" si="13"/>
        <v>2433.2636718053936</v>
      </c>
    </row>
    <row r="54" spans="1:86" s="66" customFormat="1" x14ac:dyDescent="0.25">
      <c r="A54" s="1"/>
      <c r="B54" s="31" t="s">
        <v>27</v>
      </c>
      <c r="C54" s="1"/>
      <c r="D54" s="1"/>
      <c r="E54" s="1"/>
      <c r="F54" s="1"/>
      <c r="G54" s="1"/>
      <c r="H54" s="1"/>
      <c r="I54" s="75">
        <f>I53/((1+$E$5)^I9)</f>
        <v>2183.06368386043</v>
      </c>
      <c r="J54" s="20">
        <f>J53/((1+$E$5)^J9)</f>
        <v>2004.199531566185</v>
      </c>
      <c r="K54" s="20">
        <f>K53/((1+$E$5)^K9)</f>
        <v>1868.1056501370845</v>
      </c>
      <c r="L54" s="20">
        <f>L53/((1+$E$5)^L9)</f>
        <v>1741.2531362817824</v>
      </c>
      <c r="M54" s="20">
        <f>M53/((1+$E$5)^M9)</f>
        <v>1623.0144608730529</v>
      </c>
      <c r="N54" s="20">
        <f>N53/((1+$E$5)^N9)</f>
        <v>1512.804706745846</v>
      </c>
      <c r="O54" s="20">
        <f>O53/((1+$E$5)^O9)</f>
        <v>1410.0786751593771</v>
      </c>
      <c r="P54" s="20">
        <f>P53/((1+$E$5)^P9)</f>
        <v>1285.7558368138507</v>
      </c>
      <c r="Q54" s="20">
        <f>Q53/((1+$E$5)^Q9)</f>
        <v>1172.394208226737</v>
      </c>
      <c r="R54" s="20">
        <f>R53/((1+$E$5)^R9)</f>
        <v>1069.027369060738</v>
      </c>
    </row>
    <row r="55" spans="1:86" s="66" customFormat="1" x14ac:dyDescent="0.25">
      <c r="A55" s="1"/>
      <c r="B55" s="32"/>
      <c r="C55" s="32"/>
      <c r="D55" s="32"/>
      <c r="E55" s="32"/>
      <c r="F55" s="32"/>
      <c r="G55" s="32"/>
      <c r="H55" s="32"/>
      <c r="I55" s="33"/>
      <c r="J55" s="32"/>
      <c r="K55" s="32"/>
      <c r="L55" s="32"/>
      <c r="M55" s="32"/>
      <c r="N55" s="32"/>
      <c r="O55" s="32"/>
      <c r="P55" s="32"/>
      <c r="Q55" s="32"/>
      <c r="R55" s="32"/>
    </row>
    <row r="56" spans="1:86" s="66" customFormat="1" x14ac:dyDescent="0.25">
      <c r="A56" s="1"/>
      <c r="B56" s="1" t="s">
        <v>28</v>
      </c>
      <c r="C56" s="34">
        <f>(R53*(1+$E$6))/($E$5-$E$6)</f>
        <v>25164.989877690139</v>
      </c>
      <c r="D56" s="1"/>
      <c r="E56" s="1" t="s">
        <v>29</v>
      </c>
      <c r="F56" s="20">
        <f>NPV($E$5,I51:CH51)</f>
        <v>24983.198070083286</v>
      </c>
      <c r="G56" s="1"/>
      <c r="H56" s="1"/>
      <c r="I56" s="16"/>
      <c r="J56" s="1"/>
      <c r="K56" s="1"/>
      <c r="L56" s="1"/>
      <c r="M56" s="1"/>
      <c r="N56" s="1"/>
      <c r="O56" s="1"/>
      <c r="P56" s="1"/>
      <c r="Q56" s="1"/>
      <c r="R56" s="2"/>
    </row>
    <row r="57" spans="1:86" s="66" customFormat="1" x14ac:dyDescent="0.25">
      <c r="A57" s="1"/>
      <c r="B57" s="3" t="s">
        <v>30</v>
      </c>
      <c r="C57" s="35">
        <f>C56/((1+$E$5)^$R$9)</f>
        <v>11055.958806727605</v>
      </c>
      <c r="D57" s="18"/>
      <c r="E57" s="3"/>
      <c r="F57" s="3"/>
      <c r="G57" s="3"/>
      <c r="H57" s="36"/>
      <c r="I57" s="17"/>
      <c r="J57" s="18"/>
      <c r="K57" s="18"/>
      <c r="L57" s="18"/>
      <c r="M57" s="18"/>
      <c r="N57" s="18"/>
      <c r="O57" s="18"/>
      <c r="P57" s="18"/>
      <c r="Q57" s="18"/>
      <c r="R57" s="37"/>
    </row>
    <row r="58" spans="1:86" x14ac:dyDescent="0.25">
      <c r="A58" s="1"/>
      <c r="B58" s="6" t="s">
        <v>31</v>
      </c>
      <c r="C58" s="6"/>
      <c r="D58" s="1"/>
      <c r="E58" s="6"/>
      <c r="F58" s="6"/>
      <c r="G58" s="38" t="s">
        <v>32</v>
      </c>
      <c r="H58" s="38" t="s">
        <v>29</v>
      </c>
      <c r="I58" s="16"/>
      <c r="J58" s="1"/>
      <c r="K58" s="1"/>
      <c r="L58" s="1"/>
      <c r="M58" s="1"/>
      <c r="N58" s="1"/>
      <c r="O58" s="1"/>
      <c r="P58" s="1"/>
      <c r="Q58" s="1"/>
    </row>
    <row r="59" spans="1:86" x14ac:dyDescent="0.25">
      <c r="A59" s="1"/>
      <c r="B59" s="39" t="s">
        <v>33</v>
      </c>
      <c r="C59" s="1"/>
      <c r="D59">
        <v>654</v>
      </c>
      <c r="E59" s="1"/>
      <c r="F59" s="1"/>
      <c r="G59" s="34">
        <f>C57+SUM(I54:R54)</f>
        <v>26925.656065452691</v>
      </c>
      <c r="H59" s="20">
        <f>F56</f>
        <v>24983.198070083286</v>
      </c>
      <c r="I59" s="16"/>
      <c r="L59" s="85" t="s">
        <v>55</v>
      </c>
      <c r="M59" s="84"/>
      <c r="N59" s="84"/>
      <c r="O59" s="84"/>
      <c r="P59" s="84"/>
      <c r="Q59" s="83"/>
    </row>
    <row r="60" spans="1:86" x14ac:dyDescent="0.25">
      <c r="A60" s="1"/>
      <c r="B60" s="40" t="s">
        <v>34</v>
      </c>
      <c r="C60" s="3"/>
      <c r="D60" s="52">
        <v>490</v>
      </c>
      <c r="E60" s="3"/>
      <c r="F60" s="3"/>
      <c r="G60" s="3"/>
      <c r="H60" s="3"/>
      <c r="I60" s="16"/>
      <c r="K60" s="83"/>
      <c r="L60" s="1">
        <f>E64</f>
        <v>72.956500189296065</v>
      </c>
      <c r="M60" s="88">
        <v>-0.02</v>
      </c>
      <c r="N60" s="88">
        <v>-1.4999999999999999E-2</v>
      </c>
      <c r="O60" s="88">
        <v>-0.01</v>
      </c>
      <c r="P60" s="88">
        <v>5.0000000000000001E-3</v>
      </c>
      <c r="Q60" s="88">
        <v>0.01</v>
      </c>
      <c r="R60" s="62"/>
    </row>
    <row r="61" spans="1:86" x14ac:dyDescent="0.25">
      <c r="A61" s="1"/>
      <c r="B61" s="6" t="s">
        <v>35</v>
      </c>
      <c r="C61" s="6"/>
      <c r="D61" s="6"/>
      <c r="E61" s="6"/>
      <c r="F61" s="6"/>
      <c r="G61" s="41">
        <f>G59+D59-D60</f>
        <v>27089.656065452691</v>
      </c>
      <c r="H61" s="42">
        <f>H59+D59-D60</f>
        <v>25147.198070083286</v>
      </c>
      <c r="I61" s="16"/>
      <c r="K61" s="83"/>
      <c r="L61" s="86">
        <v>6.5725491915375758E-2</v>
      </c>
      <c r="M61" s="2">
        <f t="dataTable" ref="M61:Q65" dt2D="1" dtr="1" r1="E6" r2="E5"/>
        <v>86.034398437673303</v>
      </c>
      <c r="N61" s="2">
        <v>89.581023232033345</v>
      </c>
      <c r="O61" s="2">
        <v>93.580721783279117</v>
      </c>
      <c r="P61" s="2">
        <v>109.31737688637251</v>
      </c>
      <c r="Q61" s="2">
        <v>116.30600751296902</v>
      </c>
    </row>
    <row r="62" spans="1:86" x14ac:dyDescent="0.25">
      <c r="A62" s="1"/>
      <c r="B62" s="3" t="s">
        <v>36</v>
      </c>
      <c r="C62" s="3"/>
      <c r="D62" s="3">
        <v>358</v>
      </c>
      <c r="E62" s="3"/>
      <c r="F62" s="3"/>
      <c r="G62" s="3"/>
      <c r="H62" s="43"/>
      <c r="I62" s="16"/>
      <c r="K62" s="84"/>
      <c r="L62" s="86">
        <v>7.5725491915375753E-2</v>
      </c>
      <c r="M62" s="2">
        <v>76.388912887336801</v>
      </c>
      <c r="N62" s="89">
        <v>79.077321408740801</v>
      </c>
      <c r="O62" s="89">
        <v>82.072822516918635</v>
      </c>
      <c r="P62" s="89">
        <v>93.511732163507247</v>
      </c>
      <c r="Q62" s="2">
        <v>98.427863861344463</v>
      </c>
    </row>
    <row r="63" spans="1:86" x14ac:dyDescent="0.25">
      <c r="A63" s="1"/>
      <c r="B63" s="19" t="s">
        <v>37</v>
      </c>
      <c r="C63" s="19"/>
      <c r="D63" s="19">
        <f>D62*$J$5</f>
        <v>21680.48</v>
      </c>
      <c r="E63" s="19"/>
      <c r="F63" s="19"/>
      <c r="G63" s="19"/>
      <c r="H63" s="44"/>
      <c r="I63" s="1"/>
      <c r="K63" s="83" t="s">
        <v>1</v>
      </c>
      <c r="L63" s="86">
        <v>8.5725491915375748E-2</v>
      </c>
      <c r="M63" s="2">
        <v>68.576836696961408</v>
      </c>
      <c r="N63" s="89">
        <v>70.659312415158922</v>
      </c>
      <c r="O63" s="90">
        <v>72.956500189296065</v>
      </c>
      <c r="P63" s="89">
        <v>81.517655157638643</v>
      </c>
      <c r="Q63" s="2">
        <v>85.100989091594471</v>
      </c>
    </row>
    <row r="64" spans="1:86" x14ac:dyDescent="0.25">
      <c r="A64" s="1"/>
      <c r="B64" s="6" t="s">
        <v>38</v>
      </c>
      <c r="D64" s="6" t="s">
        <v>39</v>
      </c>
      <c r="E64" s="6">
        <f>(G64+H64)/2</f>
        <v>72.956500189296065</v>
      </c>
      <c r="F64" s="6"/>
      <c r="G64" s="45">
        <f>G61/D62</f>
        <v>75.669430350426509</v>
      </c>
      <c r="H64" s="46">
        <f>H61/D62</f>
        <v>70.243570028165607</v>
      </c>
      <c r="I64" s="16"/>
      <c r="K64" s="83"/>
      <c r="L64" s="87">
        <v>9.5725491915375743E-2</v>
      </c>
      <c r="M64" s="2">
        <v>62.129062592975693</v>
      </c>
      <c r="N64" s="89">
        <v>63.771829575416433</v>
      </c>
      <c r="O64" s="89">
        <v>65.56872163003726</v>
      </c>
      <c r="P64" s="89">
        <v>72.131288640311823</v>
      </c>
      <c r="Q64" s="2">
        <v>74.818759557829708</v>
      </c>
    </row>
    <row r="65" spans="2:17" x14ac:dyDescent="0.25">
      <c r="B65" s="55"/>
      <c r="C65" s="55"/>
      <c r="D65" s="55"/>
      <c r="E65" s="55"/>
      <c r="F65" s="55"/>
      <c r="G65" s="55"/>
      <c r="H65" s="55"/>
      <c r="I65" s="27"/>
      <c r="K65" s="83"/>
      <c r="L65" s="87">
        <v>0.10572549191537574</v>
      </c>
      <c r="M65" s="2">
        <v>56.722283088016859</v>
      </c>
      <c r="N65" s="2">
        <v>58.038424484136812</v>
      </c>
      <c r="O65" s="2">
        <v>59.467730860573781</v>
      </c>
      <c r="P65" s="2">
        <v>64.59975881462141</v>
      </c>
      <c r="Q65" s="2">
        <v>66.663259495789902</v>
      </c>
    </row>
  </sheetData>
  <sortState xmlns:xlrd2="http://schemas.microsoft.com/office/spreadsheetml/2017/richdata2" columnSort="1" ref="C10:H54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7" sqref="G7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54" t="s">
        <v>1</v>
      </c>
      <c r="C2" s="2"/>
      <c r="D2" s="2"/>
      <c r="E2" s="2"/>
      <c r="F2" s="2"/>
      <c r="G2" s="2"/>
      <c r="H2" s="2"/>
      <c r="I2" s="2"/>
      <c r="J2" s="2"/>
      <c r="K2" s="2"/>
      <c r="L2" s="55"/>
    </row>
    <row r="3" spans="1:12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2"/>
    </row>
    <row r="4" spans="1:12" x14ac:dyDescent="0.25">
      <c r="A4" s="57" t="s">
        <v>41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42</v>
      </c>
      <c r="C6" s="2"/>
      <c r="D6" s="58">
        <f>'TSN DCF'!I37</f>
        <v>0.19700000000000001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43</v>
      </c>
      <c r="C7" s="2"/>
      <c r="D7" s="58">
        <v>5.3999999999999999E-2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44</v>
      </c>
      <c r="C8" s="2"/>
      <c r="D8" s="59">
        <v>0.74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45</v>
      </c>
      <c r="C9" s="2"/>
      <c r="D9" s="58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28">
        <f>'TSN DCF'!D63</f>
        <v>21680.48</v>
      </c>
      <c r="D12" s="2"/>
      <c r="E12" s="2" t="s">
        <v>34</v>
      </c>
      <c r="F12" s="2"/>
      <c r="G12" s="28">
        <f>'TSN DCF'!D60</f>
        <v>490</v>
      </c>
      <c r="H12" s="2"/>
      <c r="I12" s="2" t="s">
        <v>46</v>
      </c>
      <c r="J12" s="2"/>
      <c r="K12" s="28">
        <f>G12+C12</f>
        <v>22170.48</v>
      </c>
      <c r="L12" s="2"/>
    </row>
    <row r="13" spans="1:12" x14ac:dyDescent="0.25">
      <c r="A13" s="2" t="s">
        <v>47</v>
      </c>
      <c r="B13" s="2"/>
      <c r="C13" s="60">
        <f>C12/K12</f>
        <v>0.97789853895811008</v>
      </c>
      <c r="D13" s="2"/>
      <c r="E13" s="2" t="s">
        <v>48</v>
      </c>
      <c r="F13" s="2"/>
      <c r="G13" s="61">
        <f>G12/K12</f>
        <v>2.2101461041889935E-2</v>
      </c>
      <c r="H13" s="2"/>
      <c r="I13" s="2"/>
      <c r="J13" s="2"/>
      <c r="K13" s="2"/>
      <c r="L13" s="2"/>
    </row>
    <row r="14" spans="1:12" x14ac:dyDescent="0.25">
      <c r="A14" s="2" t="s">
        <v>49</v>
      </c>
      <c r="B14" s="2"/>
      <c r="C14" s="62">
        <f>D7+D8*(D9)</f>
        <v>8.7299999999999989E-2</v>
      </c>
      <c r="D14" s="2"/>
      <c r="E14" s="2" t="s">
        <v>50</v>
      </c>
      <c r="F14" s="2"/>
      <c r="G14" s="93">
        <v>0.02</v>
      </c>
      <c r="H14" s="2"/>
      <c r="I14" s="63" t="s">
        <v>1</v>
      </c>
      <c r="J14" s="64"/>
      <c r="K14" s="65">
        <f>C13*C14+G14*G13*(1-D6)</f>
        <v>8.5725491915375748E-2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TSN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2023-05-04T11:17:05Z</dcterms:modified>
</cp:coreProperties>
</file>