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3DD37994-60AD-41B1-82AD-E7D97DCE4DF8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APL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L23" i="1"/>
  <c r="M23" i="1" s="1"/>
  <c r="N23" i="1" s="1"/>
  <c r="O23" i="1" s="1"/>
  <c r="P23" i="1" s="1"/>
  <c r="Q23" i="1" s="1"/>
  <c r="R23" i="1" s="1"/>
  <c r="J23" i="1"/>
  <c r="K20" i="1"/>
  <c r="L20" i="1"/>
  <c r="M20" i="1" s="1"/>
  <c r="N20" i="1" s="1"/>
  <c r="O20" i="1" s="1"/>
  <c r="P20" i="1" s="1"/>
  <c r="Q20" i="1" s="1"/>
  <c r="R20" i="1" s="1"/>
  <c r="J20" i="1"/>
  <c r="K17" i="1"/>
  <c r="L17" i="1"/>
  <c r="M17" i="1" s="1"/>
  <c r="N17" i="1" s="1"/>
  <c r="O17" i="1" s="1"/>
  <c r="P17" i="1" s="1"/>
  <c r="Q17" i="1" s="1"/>
  <c r="R17" i="1" s="1"/>
  <c r="J17" i="1"/>
  <c r="D63" i="1"/>
  <c r="M46" i="1"/>
  <c r="N46" i="1"/>
  <c r="O46" i="1"/>
  <c r="P46" i="1"/>
  <c r="Q46" i="1"/>
  <c r="R46" i="1"/>
  <c r="L46" i="1"/>
  <c r="D60" i="1"/>
  <c r="D64" i="1"/>
  <c r="C12" i="2" s="1"/>
  <c r="H28" i="1"/>
  <c r="H29" i="1" s="1"/>
  <c r="C28" i="1"/>
  <c r="D28" i="1"/>
  <c r="E28" i="1"/>
  <c r="F28" i="1"/>
  <c r="G28" i="1"/>
  <c r="D6" i="2"/>
  <c r="G12" i="2"/>
  <c r="L61" i="1"/>
  <c r="L60" i="1" s="1"/>
  <c r="L63" i="1"/>
  <c r="L64" i="1" s="1"/>
  <c r="D26" i="1" l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I11" i="1"/>
  <c r="C14" i="2"/>
  <c r="F46" i="1"/>
  <c r="G46" i="1"/>
  <c r="H46" i="1"/>
  <c r="I46" i="1" s="1"/>
  <c r="J46" i="1" s="1"/>
  <c r="K46" i="1" s="1"/>
  <c r="E46" i="1"/>
  <c r="D46" i="1"/>
  <c r="C46" i="1"/>
  <c r="D43" i="1"/>
  <c r="C43" i="1"/>
  <c r="F43" i="1"/>
  <c r="H43" i="1"/>
  <c r="F29" i="1"/>
  <c r="D29" i="1"/>
  <c r="G49" i="1"/>
  <c r="H49" i="1"/>
  <c r="G43" i="1"/>
  <c r="G16" i="1"/>
  <c r="G31" i="1" s="1"/>
  <c r="G33" i="1" s="1"/>
  <c r="G52" i="1" s="1"/>
  <c r="F16" i="1"/>
  <c r="F31" i="1" s="1"/>
  <c r="F33" i="1" s="1"/>
  <c r="F52" i="1" s="1"/>
  <c r="H16" i="1"/>
  <c r="H31" i="1" s="1"/>
  <c r="E49" i="1"/>
  <c r="D49" i="1"/>
  <c r="C49" i="1"/>
  <c r="E43" i="1"/>
  <c r="D41" i="1"/>
  <c r="E41" i="1" s="1"/>
  <c r="E16" i="1"/>
  <c r="E31" i="1" s="1"/>
  <c r="E33" i="1" s="1"/>
  <c r="E52" i="1" s="1"/>
  <c r="D16" i="1"/>
  <c r="D31" i="1" s="1"/>
  <c r="D33" i="1" s="1"/>
  <c r="D52" i="1" s="1"/>
  <c r="C16" i="1"/>
  <c r="C31" i="1" s="1"/>
  <c r="C33" i="1" s="1"/>
  <c r="C52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H33" i="1" l="1"/>
  <c r="H35" i="1"/>
  <c r="H51" i="1" s="1"/>
  <c r="H54" i="1" s="1"/>
  <c r="H52" i="1"/>
  <c r="E17" i="1"/>
  <c r="G17" i="1"/>
  <c r="F35" i="1"/>
  <c r="F51" i="1" s="1"/>
  <c r="F54" i="1" s="1"/>
  <c r="I25" i="1"/>
  <c r="I19" i="1"/>
  <c r="I22" i="1"/>
  <c r="I42" i="1"/>
  <c r="J11" i="1"/>
  <c r="J42" i="1" s="1"/>
  <c r="C17" i="1"/>
  <c r="I45" i="1"/>
  <c r="I48" i="1"/>
  <c r="F49" i="1"/>
  <c r="K12" i="2"/>
  <c r="I16" i="1"/>
  <c r="D17" i="1"/>
  <c r="H17" i="1"/>
  <c r="F17" i="1"/>
  <c r="C29" i="1"/>
  <c r="E29" i="1"/>
  <c r="G29" i="1"/>
  <c r="I28" i="1" l="1"/>
  <c r="I31" i="1" s="1"/>
  <c r="I29" i="1"/>
  <c r="F39" i="1"/>
  <c r="D35" i="1"/>
  <c r="D51" i="1" s="1"/>
  <c r="D54" i="1" s="1"/>
  <c r="K11" i="1"/>
  <c r="K25" i="1" s="1"/>
  <c r="J25" i="1"/>
  <c r="J22" i="1"/>
  <c r="J19" i="1"/>
  <c r="J45" i="1"/>
  <c r="I14" i="1"/>
  <c r="C13" i="2"/>
  <c r="G13" i="2"/>
  <c r="G35" i="1"/>
  <c r="G51" i="1" s="1"/>
  <c r="G54" i="1" s="1"/>
  <c r="E35" i="1"/>
  <c r="C35" i="1"/>
  <c r="J48" i="1"/>
  <c r="J16" i="1"/>
  <c r="C39" i="1" l="1"/>
  <c r="C51" i="1"/>
  <c r="C54" i="1" s="1"/>
  <c r="E39" i="1"/>
  <c r="E51" i="1"/>
  <c r="E54" i="1" s="1"/>
  <c r="I33" i="1"/>
  <c r="I35" i="1"/>
  <c r="J28" i="1"/>
  <c r="J31" i="1" s="1"/>
  <c r="H39" i="1"/>
  <c r="K45" i="1"/>
  <c r="D39" i="1"/>
  <c r="G39" i="1"/>
  <c r="K42" i="1"/>
  <c r="K19" i="1"/>
  <c r="K22" i="1"/>
  <c r="D36" i="1"/>
  <c r="F36" i="1"/>
  <c r="H36" i="1"/>
  <c r="K14" i="2"/>
  <c r="E5" i="1" s="1"/>
  <c r="J14" i="1"/>
  <c r="K16" i="1"/>
  <c r="L11" i="1"/>
  <c r="G36" i="1"/>
  <c r="C36" i="1"/>
  <c r="E36" i="1"/>
  <c r="K48" i="1"/>
  <c r="I36" i="1" l="1"/>
  <c r="I38" i="1"/>
  <c r="I51" i="1" s="1"/>
  <c r="I54" i="1" s="1"/>
  <c r="I55" i="1" s="1"/>
  <c r="J33" i="1"/>
  <c r="J35" i="1"/>
  <c r="K28" i="1"/>
  <c r="K31" i="1" s="1"/>
  <c r="J29" i="1"/>
  <c r="K14" i="1"/>
  <c r="L22" i="1"/>
  <c r="L19" i="1"/>
  <c r="L25" i="1"/>
  <c r="L48" i="1"/>
  <c r="L45" i="1"/>
  <c r="L42" i="1"/>
  <c r="L16" i="1"/>
  <c r="M11" i="1"/>
  <c r="I52" i="1" l="1"/>
  <c r="K33" i="1"/>
  <c r="K35" i="1"/>
  <c r="J36" i="1"/>
  <c r="J38" i="1"/>
  <c r="K29" i="1"/>
  <c r="L28" i="1"/>
  <c r="L31" i="1" s="1"/>
  <c r="L35" i="1" s="1"/>
  <c r="L36" i="1" s="1"/>
  <c r="M25" i="1"/>
  <c r="M22" i="1"/>
  <c r="M19" i="1"/>
  <c r="M45" i="1"/>
  <c r="M42" i="1"/>
  <c r="L14" i="1"/>
  <c r="M16" i="1"/>
  <c r="N11" i="1"/>
  <c r="M48" i="1"/>
  <c r="K36" i="1" l="1"/>
  <c r="K38" i="1"/>
  <c r="L38" i="1"/>
  <c r="L33" i="1"/>
  <c r="J52" i="1"/>
  <c r="J51" i="1"/>
  <c r="J54" i="1" s="1"/>
  <c r="J55" i="1" s="1"/>
  <c r="L29" i="1"/>
  <c r="M28" i="1"/>
  <c r="M31" i="1" s="1"/>
  <c r="M35" i="1" s="1"/>
  <c r="M36" i="1" s="1"/>
  <c r="L51" i="1"/>
  <c r="M29" i="1"/>
  <c r="M14" i="1"/>
  <c r="N22" i="1"/>
  <c r="N19" i="1"/>
  <c r="N25" i="1"/>
  <c r="N48" i="1"/>
  <c r="N45" i="1"/>
  <c r="N42" i="1"/>
  <c r="N16" i="1"/>
  <c r="N14" i="1" s="1"/>
  <c r="O11" i="1"/>
  <c r="L52" i="1" l="1"/>
  <c r="M38" i="1"/>
  <c r="M33" i="1"/>
  <c r="K52" i="1"/>
  <c r="K51" i="1"/>
  <c r="K54" i="1" s="1"/>
  <c r="K55" i="1" s="1"/>
  <c r="N28" i="1"/>
  <c r="N31" i="1" s="1"/>
  <c r="L54" i="1"/>
  <c r="L55" i="1" s="1"/>
  <c r="M51" i="1"/>
  <c r="O25" i="1"/>
  <c r="O22" i="1"/>
  <c r="O19" i="1"/>
  <c r="O45" i="1"/>
  <c r="O42" i="1"/>
  <c r="O16" i="1"/>
  <c r="P11" i="1"/>
  <c r="O48" i="1"/>
  <c r="M52" i="1" l="1"/>
  <c r="N33" i="1"/>
  <c r="N35" i="1"/>
  <c r="O28" i="1"/>
  <c r="O31" i="1" s="1"/>
  <c r="N29" i="1"/>
  <c r="M54" i="1"/>
  <c r="M55" i="1" s="1"/>
  <c r="O14" i="1"/>
  <c r="P22" i="1"/>
  <c r="P19" i="1"/>
  <c r="P25" i="1"/>
  <c r="P45" i="1"/>
  <c r="P42" i="1"/>
  <c r="P16" i="1"/>
  <c r="Q11" i="1"/>
  <c r="P48" i="1"/>
  <c r="N36" i="1" l="1"/>
  <c r="N38" i="1"/>
  <c r="N52" i="1" s="1"/>
  <c r="O33" i="1"/>
  <c r="O35" i="1"/>
  <c r="P28" i="1"/>
  <c r="P31" i="1" s="1"/>
  <c r="O29" i="1"/>
  <c r="P29" i="1"/>
  <c r="Q25" i="1"/>
  <c r="Q22" i="1"/>
  <c r="Q19" i="1"/>
  <c r="Q45" i="1"/>
  <c r="Q42" i="1"/>
  <c r="P14" i="1"/>
  <c r="Q16" i="1"/>
  <c r="R11" i="1"/>
  <c r="Q48" i="1"/>
  <c r="P33" i="1" l="1"/>
  <c r="P35" i="1"/>
  <c r="O36" i="1"/>
  <c r="O38" i="1"/>
  <c r="O51" i="1" s="1"/>
  <c r="O54" i="1" s="1"/>
  <c r="O55" i="1" s="1"/>
  <c r="N51" i="1"/>
  <c r="N54" i="1" s="1"/>
  <c r="N55" i="1" s="1"/>
  <c r="Q28" i="1"/>
  <c r="Q31" i="1" s="1"/>
  <c r="Q35" i="1" s="1"/>
  <c r="Q36" i="1" s="1"/>
  <c r="R22" i="1"/>
  <c r="R19" i="1"/>
  <c r="R25" i="1"/>
  <c r="R45" i="1"/>
  <c r="R42" i="1"/>
  <c r="R16" i="1"/>
  <c r="R48" i="1"/>
  <c r="Q14" i="1"/>
  <c r="Q38" i="1" l="1"/>
  <c r="Q51" i="1" s="1"/>
  <c r="Q33" i="1"/>
  <c r="P36" i="1"/>
  <c r="P38" i="1"/>
  <c r="O52" i="1"/>
  <c r="Q29" i="1"/>
  <c r="R28" i="1"/>
  <c r="R31" i="1" s="1"/>
  <c r="R35" i="1" s="1"/>
  <c r="R36" i="1" s="1"/>
  <c r="R14" i="1"/>
  <c r="R38" i="1" l="1"/>
  <c r="R51" i="1" s="1"/>
  <c r="R54" i="1" s="1"/>
  <c r="Q52" i="1"/>
  <c r="R33" i="1"/>
  <c r="R52" i="1" s="1"/>
  <c r="R29" i="1"/>
  <c r="P52" i="1"/>
  <c r="P51" i="1"/>
  <c r="P54" i="1" s="1"/>
  <c r="P55" i="1" s="1"/>
  <c r="Q54" i="1"/>
  <c r="Q55" i="1" s="1"/>
  <c r="C57" i="1" l="1"/>
  <c r="C58" i="1" s="1"/>
  <c r="R55" i="1"/>
  <c r="G60" i="1" l="1"/>
  <c r="G62" i="1" s="1"/>
  <c r="G65" i="1" s="1"/>
  <c r="S52" i="1" l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F57" i="1" l="1"/>
  <c r="H60" i="1" s="1"/>
  <c r="H62" i="1" l="1"/>
  <c r="H65" i="1" s="1"/>
  <c r="D65" i="1" s="1"/>
  <c r="L59" i="1" s="1"/>
  <c r="J6" i="1" l="1"/>
  <c r="N5" i="1" s="1"/>
</calcChain>
</file>

<file path=xl/sharedStrings.xml><?xml version="1.0" encoding="utf-8"?>
<sst xmlns="http://schemas.openxmlformats.org/spreadsheetml/2006/main" count="82" uniqueCount="56">
  <si>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</si>
  <si>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</si>
  <si>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</si>
  <si>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</si>
  <si>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</si>
  <si>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</si>
  <si>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</si>
  <si>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</si>
  <si>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</si>
  <si>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</si>
  <si>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</si>
  <si>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</si>
  <si>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</si>
  <si>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</si>
  <si>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</si>
  <si>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</si>
  <si>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</si>
  <si>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</si>
  <si>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</si>
  <si>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</si>
  <si>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</si>
  <si>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</si>
  <si>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</si>
  <si>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</si>
  <si>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</si>
  <si>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</si>
  <si>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</si>
  <si>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</si>
  <si>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</si>
  <si>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</si>
  <si>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</si>
  <si>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</si>
  <si>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</si>
  <si>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</si>
  <si>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</si>
  <si>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</si>
  <si>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</si>
  <si>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</si>
  <si>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</si>
  <si>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</si>
  <si>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</si>
  <si>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</si>
  <si>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</si>
  <si>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</si>
  <si>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</si>
  <si>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</si>
  <si>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</si>
  <si>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</si>
  <si>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</si>
  <si>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</si>
  <si>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</si>
  <si>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</si>
  <si>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</si>
  <si>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</si>
  <si>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SG&amp;A</t>
  </si>
  <si>
    <t>Apple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</si>
</sst>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0" fontId="8" fillId="2" borderId="0" xfId="0" applyNumberFormat="1" applyFont="1" applyFill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3" fontId="0" fillId="2" borderId="1" xfId="0" applyNumberFormat="1" applyFill="1" applyBorder="1"/>
    <xf numFmtId="0" fontId="3" fillId="2" borderId="0" xfId="0" applyFont="1" applyFill="1" applyBorder="1"/>
    <xf numFmtId="1" fontId="3" fillId="2" borderId="0" xfId="0" applyNumberFormat="1" applyFont="1" applyFill="1" applyBorder="1"/>
    <xf numFmtId="3" fontId="3" fillId="2" borderId="0" xfId="0" applyNumberFormat="1" applyFont="1" applyFill="1" applyBorder="1"/>
    <xf numFmtId="0" fontId="0" fillId="2" borderId="0" xfId="0" applyFill="1" applyBorder="1"/>
    <xf numFmtId="164" fontId="3" fillId="2" borderId="0" xfId="0" applyNumberFormat="1" applyFont="1" applyFill="1" applyBorder="1"/>
    <xf numFmtId="0" fontId="12" fillId="2" borderId="0" xfId="0" applyFont="1" applyFill="1"/>
    <xf numFmtId="2" fontId="3" fillId="2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6"/>
  <sheetViews>
    <sheetView tabSelected="1" topLeftCell="A55" workbookViewId="0">
      <selection activeCell="G67" sqref="G67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2"/>
    </row>
    <row r="5" spans="1:86" x14ac:dyDescent="0.25">
      <c r="A5" s="1"/>
      <c r="B5" s="1"/>
      <c r="C5" s="7" t="s">
        <v>1</v>
      </c>
      <c r="D5" s="1"/>
      <c r="E5" s="8">
        <f>WACC!K14</f>
        <v>0.10792718962389942</v>
      </c>
      <c r="G5" s="1"/>
      <c r="H5" s="1" t="s">
        <v>2</v>
      </c>
      <c r="I5" s="1"/>
      <c r="J5" s="7">
        <v>173.57</v>
      </c>
      <c r="K5" s="1"/>
      <c r="L5" s="1" t="s">
        <v>3</v>
      </c>
      <c r="M5" s="1"/>
      <c r="N5" s="77">
        <f>(J6/J5)-1</f>
        <v>-0.21413078342657066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0.01</v>
      </c>
      <c r="G6" s="1"/>
      <c r="H6" s="1" t="s">
        <v>5</v>
      </c>
      <c r="I6" s="1"/>
      <c r="J6" s="93">
        <f>D65</f>
        <v>136.40331992065012</v>
      </c>
      <c r="K6" s="1"/>
      <c r="L6" s="1" t="s">
        <v>53</v>
      </c>
      <c r="M6" s="1"/>
      <c r="N6" s="76">
        <v>45052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229234</v>
      </c>
      <c r="D11" s="12">
        <v>265595</v>
      </c>
      <c r="E11" s="12">
        <v>260174</v>
      </c>
      <c r="F11" s="12">
        <v>274515</v>
      </c>
      <c r="G11" s="12">
        <v>365817</v>
      </c>
      <c r="H11" s="12">
        <v>394328</v>
      </c>
      <c r="I11" s="22">
        <f>H11*(1+I12)</f>
        <v>389201.73599999998</v>
      </c>
      <c r="J11" s="19">
        <f t="shared" ref="J11:R11" si="1">I11*(1+J12)</f>
        <v>416835.05925599998</v>
      </c>
      <c r="K11" s="19">
        <f t="shared" si="1"/>
        <v>443512.50304838398</v>
      </c>
      <c r="L11" s="19">
        <f t="shared" si="1"/>
        <v>472784.32824957737</v>
      </c>
      <c r="M11" s="19">
        <f t="shared" si="1"/>
        <v>510134.29018129397</v>
      </c>
      <c r="N11" s="19">
        <f t="shared" si="1"/>
        <v>579512.55364595004</v>
      </c>
      <c r="O11" s="19">
        <f t="shared" si="1"/>
        <v>633407.2211350234</v>
      </c>
      <c r="P11" s="19">
        <f t="shared" si="1"/>
        <v>692947.4999217157</v>
      </c>
      <c r="Q11" s="19">
        <f t="shared" si="1"/>
        <v>760856.35491404391</v>
      </c>
      <c r="R11" s="19">
        <f t="shared" si="1"/>
        <v>836941.99040544836</v>
      </c>
    </row>
    <row r="12" spans="1:86" x14ac:dyDescent="0.25">
      <c r="A12" s="1"/>
      <c r="B12" s="83" t="s">
        <v>8</v>
      </c>
      <c r="C12" s="84"/>
      <c r="D12" s="84">
        <f>(D11/C11)-1</f>
        <v>0.15861957650261305</v>
      </c>
      <c r="E12" s="84">
        <f t="shared" ref="E12:H12" si="2">(E11/D11)-1</f>
        <v>-2.04107758052674E-2</v>
      </c>
      <c r="F12" s="84">
        <f t="shared" si="2"/>
        <v>5.5120803769784787E-2</v>
      </c>
      <c r="G12" s="84">
        <f t="shared" si="2"/>
        <v>0.33259384733074704</v>
      </c>
      <c r="H12" s="84">
        <f t="shared" si="2"/>
        <v>7.7937876041846099E-2</v>
      </c>
      <c r="I12" s="70">
        <v>-1.2999999999999999E-2</v>
      </c>
      <c r="J12" s="66">
        <v>7.0999999999999994E-2</v>
      </c>
      <c r="K12" s="66">
        <v>6.4000000000000001E-2</v>
      </c>
      <c r="L12" s="66">
        <v>6.6000000000000003E-2</v>
      </c>
      <c r="M12" s="66">
        <v>7.9000000000000001E-2</v>
      </c>
      <c r="N12" s="66">
        <v>0.13600000000000001</v>
      </c>
      <c r="O12" s="66">
        <v>9.2999999999999999E-2</v>
      </c>
      <c r="P12" s="66">
        <v>9.4E-2</v>
      </c>
      <c r="Q12" s="66">
        <v>9.8000000000000004E-2</v>
      </c>
      <c r="R12" s="66">
        <v>0.1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86" x14ac:dyDescent="0.25">
      <c r="A14" s="1"/>
      <c r="B14" s="1" t="s">
        <v>9</v>
      </c>
      <c r="C14" s="12">
        <v>141048</v>
      </c>
      <c r="D14" s="12">
        <v>163756</v>
      </c>
      <c r="E14" s="12">
        <v>161782</v>
      </c>
      <c r="F14" s="12">
        <v>169559</v>
      </c>
      <c r="G14" s="12">
        <v>212981</v>
      </c>
      <c r="H14" s="38">
        <v>223546</v>
      </c>
      <c r="I14" s="71">
        <f>I11-I16</f>
        <v>220677.38431199998</v>
      </c>
      <c r="J14" s="68">
        <f t="shared" ref="J14:K14" si="3">J11-J16</f>
        <v>234678.13836112799</v>
      </c>
      <c r="K14" s="68">
        <f t="shared" si="3"/>
        <v>247923.48920404664</v>
      </c>
      <c r="L14" s="68">
        <f t="shared" ref="L14:R14" si="4">L11-L16</f>
        <v>262395.30217851547</v>
      </c>
      <c r="M14" s="68">
        <f t="shared" si="4"/>
        <v>281083.99388989294</v>
      </c>
      <c r="N14" s="68">
        <f t="shared" si="4"/>
        <v>316993.36684433464</v>
      </c>
      <c r="O14" s="68">
        <f t="shared" si="4"/>
        <v>343940.12107631768</v>
      </c>
      <c r="P14" s="68">
        <f t="shared" si="4"/>
        <v>373498.70245780476</v>
      </c>
      <c r="Q14" s="68">
        <f t="shared" si="4"/>
        <v>407058.14987901348</v>
      </c>
      <c r="R14" s="68">
        <f t="shared" si="4"/>
        <v>444416.19690529304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F16" si="5">C11-C14</f>
        <v>88186</v>
      </c>
      <c r="D16" s="12">
        <f t="shared" si="5"/>
        <v>101839</v>
      </c>
      <c r="E16" s="12">
        <f t="shared" si="5"/>
        <v>98392</v>
      </c>
      <c r="F16" s="12">
        <f t="shared" si="5"/>
        <v>104956</v>
      </c>
      <c r="G16" s="12">
        <f>G11-G14</f>
        <v>152836</v>
      </c>
      <c r="H16" s="12">
        <f>H11-H14</f>
        <v>170782</v>
      </c>
      <c r="I16" s="22">
        <f>I11*I17</f>
        <v>168524.351688</v>
      </c>
      <c r="J16" s="19">
        <f t="shared" ref="J16:R16" si="6">J11*J17</f>
        <v>182156.92089487199</v>
      </c>
      <c r="K16" s="19">
        <f t="shared" si="6"/>
        <v>195589.01384433734</v>
      </c>
      <c r="L16" s="19">
        <f t="shared" si="6"/>
        <v>210389.02607106193</v>
      </c>
      <c r="M16" s="19">
        <f t="shared" si="6"/>
        <v>229050.296291401</v>
      </c>
      <c r="N16" s="19">
        <f t="shared" si="6"/>
        <v>262519.1868016154</v>
      </c>
      <c r="O16" s="19">
        <f t="shared" si="6"/>
        <v>289467.10005870572</v>
      </c>
      <c r="P16" s="19">
        <f t="shared" si="6"/>
        <v>319448.79746391095</v>
      </c>
      <c r="Q16" s="19">
        <f t="shared" si="6"/>
        <v>353798.20503503043</v>
      </c>
      <c r="R16" s="19">
        <f t="shared" si="6"/>
        <v>392525.79350015533</v>
      </c>
    </row>
    <row r="17" spans="1:18" x14ac:dyDescent="0.25">
      <c r="A17" s="1"/>
      <c r="B17" s="83" t="s">
        <v>11</v>
      </c>
      <c r="C17" s="84">
        <f>C16/C11</f>
        <v>0.38469860491899105</v>
      </c>
      <c r="D17" s="84">
        <f t="shared" ref="D17:H17" si="7">D16/D11</f>
        <v>0.38343718820007905</v>
      </c>
      <c r="E17" s="84">
        <f t="shared" si="7"/>
        <v>0.37817768109034722</v>
      </c>
      <c r="F17" s="84">
        <f t="shared" si="7"/>
        <v>0.38233247727810865</v>
      </c>
      <c r="G17" s="84">
        <f t="shared" si="7"/>
        <v>0.41779359625167778</v>
      </c>
      <c r="H17" s="84">
        <f t="shared" si="7"/>
        <v>0.43309630561360085</v>
      </c>
      <c r="I17" s="81">
        <v>0.433</v>
      </c>
      <c r="J17" s="82">
        <f>I17+0.4%</f>
        <v>0.437</v>
      </c>
      <c r="K17" s="82">
        <f t="shared" ref="K17:R17" si="8">J17+0.4%</f>
        <v>0.441</v>
      </c>
      <c r="L17" s="82">
        <f t="shared" si="8"/>
        <v>0.44500000000000001</v>
      </c>
      <c r="M17" s="82">
        <f t="shared" si="8"/>
        <v>0.44900000000000001</v>
      </c>
      <c r="N17" s="82">
        <f t="shared" si="8"/>
        <v>0.45300000000000001</v>
      </c>
      <c r="O17" s="82">
        <f t="shared" si="8"/>
        <v>0.45700000000000002</v>
      </c>
      <c r="P17" s="82">
        <f t="shared" si="8"/>
        <v>0.46100000000000002</v>
      </c>
      <c r="Q17" s="82">
        <f t="shared" si="8"/>
        <v>0.46500000000000002</v>
      </c>
      <c r="R17" s="82">
        <f t="shared" si="8"/>
        <v>0.46900000000000003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11581</v>
      </c>
      <c r="D19" s="12">
        <v>14236</v>
      </c>
      <c r="E19" s="12">
        <v>16217</v>
      </c>
      <c r="F19" s="12">
        <v>18752</v>
      </c>
      <c r="G19" s="12">
        <v>21914</v>
      </c>
      <c r="H19" s="12">
        <v>26251</v>
      </c>
      <c r="I19" s="22">
        <f>I20*I11</f>
        <v>26076.516312</v>
      </c>
      <c r="J19" s="19">
        <f t="shared" ref="J19:R19" si="9">J20*J11</f>
        <v>27302.696381268001</v>
      </c>
      <c r="K19" s="19">
        <f t="shared" si="9"/>
        <v>28384.800195096574</v>
      </c>
      <c r="L19" s="19">
        <f t="shared" si="9"/>
        <v>29549.020515598586</v>
      </c>
      <c r="M19" s="19">
        <f t="shared" si="9"/>
        <v>31118.191701058931</v>
      </c>
      <c r="N19" s="19">
        <f t="shared" si="9"/>
        <v>34480.996941934027</v>
      </c>
      <c r="O19" s="19">
        <f t="shared" si="9"/>
        <v>36737.618825831356</v>
      </c>
      <c r="P19" s="19">
        <f t="shared" si="9"/>
        <v>39151.533745576933</v>
      </c>
      <c r="Q19" s="19">
        <f t="shared" si="9"/>
        <v>41847.099520272408</v>
      </c>
      <c r="R19" s="19">
        <f t="shared" si="9"/>
        <v>44776.396486691483</v>
      </c>
    </row>
    <row r="20" spans="1:18" x14ac:dyDescent="0.25">
      <c r="A20" s="1"/>
      <c r="B20" s="83" t="s">
        <v>18</v>
      </c>
      <c r="C20" s="84">
        <f>C19/C11</f>
        <v>5.0520428906706681E-2</v>
      </c>
      <c r="D20" s="84">
        <f t="shared" ref="D20:H20" si="10">D19/D11</f>
        <v>5.3600406634161032E-2</v>
      </c>
      <c r="E20" s="84">
        <f t="shared" si="10"/>
        <v>6.233136285716482E-2</v>
      </c>
      <c r="F20" s="84">
        <f t="shared" si="10"/>
        <v>6.8309564140393061E-2</v>
      </c>
      <c r="G20" s="84">
        <f t="shared" si="10"/>
        <v>5.9904269074427925E-2</v>
      </c>
      <c r="H20" s="84">
        <f t="shared" si="10"/>
        <v>6.657148363798665E-2</v>
      </c>
      <c r="I20" s="70">
        <v>6.7000000000000004E-2</v>
      </c>
      <c r="J20" s="66">
        <f>I20-0.15%</f>
        <v>6.5500000000000003E-2</v>
      </c>
      <c r="K20" s="66">
        <f t="shared" ref="K20:R20" si="11">J20-0.15%</f>
        <v>6.4000000000000001E-2</v>
      </c>
      <c r="L20" s="66">
        <f t="shared" si="11"/>
        <v>6.25E-2</v>
      </c>
      <c r="M20" s="66">
        <f t="shared" si="11"/>
        <v>6.0999999999999999E-2</v>
      </c>
      <c r="N20" s="66">
        <f t="shared" si="11"/>
        <v>5.9499999999999997E-2</v>
      </c>
      <c r="O20" s="66">
        <f t="shared" si="11"/>
        <v>5.7999999999999996E-2</v>
      </c>
      <c r="P20" s="66">
        <f t="shared" si="11"/>
        <v>5.6499999999999995E-2</v>
      </c>
      <c r="Q20" s="66">
        <f t="shared" si="11"/>
        <v>5.4999999999999993E-2</v>
      </c>
      <c r="R20" s="66">
        <f t="shared" si="11"/>
        <v>5.3499999999999992E-2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8"/>
      <c r="K21" s="88"/>
      <c r="L21" s="88"/>
      <c r="M21" s="88"/>
      <c r="N21" s="88"/>
      <c r="O21" s="88"/>
      <c r="P21" s="88"/>
      <c r="Q21" s="88"/>
      <c r="R21" s="88"/>
    </row>
    <row r="22" spans="1:18" x14ac:dyDescent="0.25">
      <c r="A22" s="1"/>
      <c r="B22" s="1" t="s">
        <v>54</v>
      </c>
      <c r="C22" s="12">
        <v>15261</v>
      </c>
      <c r="D22" s="12">
        <v>16705</v>
      </c>
      <c r="E22" s="12">
        <v>18245</v>
      </c>
      <c r="F22" s="12">
        <v>19916</v>
      </c>
      <c r="G22" s="12">
        <v>21973</v>
      </c>
      <c r="H22" s="12">
        <v>25094</v>
      </c>
      <c r="I22" s="22">
        <f>I23*I11</f>
        <v>25298.112839999998</v>
      </c>
      <c r="J22" s="88">
        <f t="shared" ref="J22:R22" si="12">J23*J11</f>
        <v>26469.026262756001</v>
      </c>
      <c r="K22" s="88">
        <f t="shared" si="12"/>
        <v>27497.775188999807</v>
      </c>
      <c r="L22" s="88">
        <f t="shared" si="12"/>
        <v>28603.45185909943</v>
      </c>
      <c r="M22" s="88">
        <f t="shared" si="12"/>
        <v>30097.923120696341</v>
      </c>
      <c r="N22" s="88">
        <f t="shared" si="12"/>
        <v>33321.971834642121</v>
      </c>
      <c r="O22" s="88">
        <f t="shared" si="12"/>
        <v>35470.804383561306</v>
      </c>
      <c r="P22" s="88">
        <f t="shared" si="12"/>
        <v>37765.6387457335</v>
      </c>
      <c r="Q22" s="88">
        <f t="shared" si="12"/>
        <v>40325.386810444325</v>
      </c>
      <c r="R22" s="88">
        <f t="shared" si="12"/>
        <v>43102.512505880586</v>
      </c>
    </row>
    <row r="23" spans="1:18" x14ac:dyDescent="0.25">
      <c r="A23" s="1"/>
      <c r="B23" s="83" t="s">
        <v>18</v>
      </c>
      <c r="C23" s="84">
        <f>C22/C11</f>
        <v>6.6573893924984945E-2</v>
      </c>
      <c r="D23" s="84">
        <f t="shared" ref="D23:H23" si="13">D22/D11</f>
        <v>6.2896515371147807E-2</v>
      </c>
      <c r="E23" s="84">
        <f t="shared" si="13"/>
        <v>7.0126146348213125E-2</v>
      </c>
      <c r="F23" s="84">
        <f t="shared" si="13"/>
        <v>7.2549769593646979E-2</v>
      </c>
      <c r="G23" s="84">
        <f t="shared" si="13"/>
        <v>6.006555190163388E-2</v>
      </c>
      <c r="H23" s="84">
        <f t="shared" si="13"/>
        <v>6.3637378020328261E-2</v>
      </c>
      <c r="I23" s="70">
        <v>6.5000000000000002E-2</v>
      </c>
      <c r="J23" s="66">
        <f>I23-0.15%</f>
        <v>6.3500000000000001E-2</v>
      </c>
      <c r="K23" s="66">
        <f t="shared" ref="K23:R23" si="14">J23-0.15%</f>
        <v>6.2E-2</v>
      </c>
      <c r="L23" s="66">
        <f t="shared" si="14"/>
        <v>6.0499999999999998E-2</v>
      </c>
      <c r="M23" s="66">
        <f t="shared" si="14"/>
        <v>5.8999999999999997E-2</v>
      </c>
      <c r="N23" s="66">
        <f t="shared" si="14"/>
        <v>5.7499999999999996E-2</v>
      </c>
      <c r="O23" s="66">
        <f t="shared" si="14"/>
        <v>5.5999999999999994E-2</v>
      </c>
      <c r="P23" s="66">
        <f t="shared" si="14"/>
        <v>5.4499999999999993E-2</v>
      </c>
      <c r="Q23" s="66">
        <f t="shared" si="14"/>
        <v>5.2999999999999992E-2</v>
      </c>
      <c r="R23" s="66">
        <f t="shared" si="14"/>
        <v>5.149999999999999E-2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8"/>
      <c r="K24" s="88"/>
      <c r="L24" s="88"/>
      <c r="M24" s="88"/>
      <c r="N24" s="88"/>
      <c r="O24" s="88"/>
      <c r="P24" s="88"/>
      <c r="Q24" s="88"/>
      <c r="R24" s="88"/>
    </row>
    <row r="25" spans="1:18" x14ac:dyDescent="0.25">
      <c r="A25" s="1"/>
      <c r="B25" s="1" t="s">
        <v>15</v>
      </c>
      <c r="C25" s="12">
        <v>2745</v>
      </c>
      <c r="D25" s="12">
        <v>2005</v>
      </c>
      <c r="E25" s="12">
        <v>1807</v>
      </c>
      <c r="F25" s="12">
        <v>803</v>
      </c>
      <c r="G25" s="12">
        <v>258</v>
      </c>
      <c r="H25" s="12">
        <v>-334</v>
      </c>
      <c r="I25" s="73">
        <f t="shared" ref="I25:R25" si="15">I26*I11</f>
        <v>1897.522075132375</v>
      </c>
      <c r="J25" s="89">
        <f t="shared" si="15"/>
        <v>2032.2461424667736</v>
      </c>
      <c r="K25" s="89">
        <f t="shared" si="15"/>
        <v>2162.3098955846472</v>
      </c>
      <c r="L25" s="89">
        <f t="shared" si="15"/>
        <v>2305.0223486932341</v>
      </c>
      <c r="M25" s="89">
        <f t="shared" si="15"/>
        <v>2487.1191142399994</v>
      </c>
      <c r="N25" s="89">
        <f t="shared" si="15"/>
        <v>2825.36731377664</v>
      </c>
      <c r="O25" s="89">
        <f t="shared" si="15"/>
        <v>3088.1264739578673</v>
      </c>
      <c r="P25" s="89">
        <f t="shared" si="15"/>
        <v>3378.4103625099074</v>
      </c>
      <c r="Q25" s="89">
        <f t="shared" si="15"/>
        <v>3709.4945780358789</v>
      </c>
      <c r="R25" s="89">
        <f t="shared" si="15"/>
        <v>4080.4440358394668</v>
      </c>
    </row>
    <row r="26" spans="1:18" x14ac:dyDescent="0.25">
      <c r="A26" s="1"/>
      <c r="B26" s="83" t="s">
        <v>18</v>
      </c>
      <c r="C26" s="84">
        <f t="shared" ref="C26:H26" si="16">C25/C11</f>
        <v>1.1974663444340717E-2</v>
      </c>
      <c r="D26" s="84">
        <f t="shared" si="16"/>
        <v>7.5490878969860127E-3</v>
      </c>
      <c r="E26" s="84">
        <f t="shared" si="16"/>
        <v>6.9453519567673943E-3</v>
      </c>
      <c r="F26" s="84">
        <f t="shared" si="16"/>
        <v>2.9251589166347921E-3</v>
      </c>
      <c r="G26" s="84">
        <f t="shared" si="16"/>
        <v>7.0527066812094575E-4</v>
      </c>
      <c r="H26" s="84">
        <f t="shared" si="16"/>
        <v>-8.4701061045626988E-4</v>
      </c>
      <c r="I26" s="20">
        <v>4.8754203787322653E-3</v>
      </c>
      <c r="J26" s="67">
        <v>4.8754203787322653E-3</v>
      </c>
      <c r="K26" s="67">
        <v>4.8754203787322653E-3</v>
      </c>
      <c r="L26" s="67">
        <v>4.8754203787322653E-3</v>
      </c>
      <c r="M26" s="67">
        <v>4.8754203787322653E-3</v>
      </c>
      <c r="N26" s="67">
        <v>4.8754203787322653E-3</v>
      </c>
      <c r="O26" s="67">
        <v>4.8754203787322653E-3</v>
      </c>
      <c r="P26" s="67">
        <v>4.8754203787322653E-3</v>
      </c>
      <c r="Q26" s="67">
        <v>4.8754203787322653E-3</v>
      </c>
      <c r="R26" s="67">
        <v>4.8754203787322653E-3</v>
      </c>
    </row>
    <row r="27" spans="1:18" x14ac:dyDescent="0.25">
      <c r="A27" s="1"/>
      <c r="B27" s="1"/>
      <c r="C27" s="1"/>
      <c r="D27" s="1"/>
      <c r="E27" s="1"/>
      <c r="F27" s="12"/>
      <c r="G27" s="12"/>
      <c r="H27" s="12"/>
      <c r="I27" s="13"/>
      <c r="J27" s="87"/>
      <c r="K27" s="87"/>
      <c r="L27" s="87"/>
      <c r="M27" s="87"/>
      <c r="N27" s="87"/>
      <c r="O27" s="87"/>
      <c r="P27" s="87"/>
      <c r="Q27" s="87"/>
      <c r="R27" s="90"/>
    </row>
    <row r="28" spans="1:18" x14ac:dyDescent="0.25">
      <c r="A28" s="1"/>
      <c r="B28" s="1" t="s">
        <v>13</v>
      </c>
      <c r="C28" s="12">
        <f t="shared" ref="C28:G28" si="17">C19+C22</f>
        <v>26842</v>
      </c>
      <c r="D28" s="12">
        <f t="shared" si="17"/>
        <v>30941</v>
      </c>
      <c r="E28" s="12">
        <f t="shared" si="17"/>
        <v>34462</v>
      </c>
      <c r="F28" s="12">
        <f t="shared" si="17"/>
        <v>38668</v>
      </c>
      <c r="G28" s="12">
        <f t="shared" si="17"/>
        <v>43887</v>
      </c>
      <c r="H28" s="12">
        <f>H19+H22</f>
        <v>51345</v>
      </c>
      <c r="I28" s="73">
        <f>I19+I22</f>
        <v>51374.629151999994</v>
      </c>
      <c r="J28" s="89">
        <f t="shared" ref="J28:R28" si="18">J19+J22</f>
        <v>53771.722644024005</v>
      </c>
      <c r="K28" s="89">
        <f t="shared" si="18"/>
        <v>55882.575384096381</v>
      </c>
      <c r="L28" s="89">
        <f t="shared" si="18"/>
        <v>58152.472374698016</v>
      </c>
      <c r="M28" s="89">
        <f t="shared" si="18"/>
        <v>61216.114821755269</v>
      </c>
      <c r="N28" s="89">
        <f t="shared" si="18"/>
        <v>67802.968776576148</v>
      </c>
      <c r="O28" s="89">
        <f t="shared" si="18"/>
        <v>72208.423209392669</v>
      </c>
      <c r="P28" s="89">
        <f t="shared" si="18"/>
        <v>76917.172491310426</v>
      </c>
      <c r="Q28" s="89">
        <f t="shared" si="18"/>
        <v>82172.486330716725</v>
      </c>
      <c r="R28" s="89">
        <f t="shared" si="18"/>
        <v>87878.908992572076</v>
      </c>
    </row>
    <row r="29" spans="1:18" x14ac:dyDescent="0.25">
      <c r="A29" s="1"/>
      <c r="B29" s="83" t="s">
        <v>18</v>
      </c>
      <c r="C29" s="84">
        <f t="shared" ref="C29:R29" si="19">C28/C11</f>
        <v>0.11709432283169163</v>
      </c>
      <c r="D29" s="84">
        <f t="shared" si="19"/>
        <v>0.11649692200530884</v>
      </c>
      <c r="E29" s="84">
        <f t="shared" si="19"/>
        <v>0.13245750920537794</v>
      </c>
      <c r="F29" s="84">
        <f t="shared" si="19"/>
        <v>0.14085933373404003</v>
      </c>
      <c r="G29" s="84">
        <f t="shared" si="19"/>
        <v>0.11996982097606181</v>
      </c>
      <c r="H29" s="84">
        <f t="shared" si="19"/>
        <v>0.13020886165831491</v>
      </c>
      <c r="I29" s="20">
        <f t="shared" si="19"/>
        <v>0.13200000000000001</v>
      </c>
      <c r="J29" s="67">
        <f t="shared" si="19"/>
        <v>0.12900000000000003</v>
      </c>
      <c r="K29" s="67">
        <f t="shared" si="19"/>
        <v>0.126</v>
      </c>
      <c r="L29" s="67">
        <f t="shared" si="19"/>
        <v>0.123</v>
      </c>
      <c r="M29" s="67">
        <f t="shared" si="19"/>
        <v>0.11999999999999998</v>
      </c>
      <c r="N29" s="67">
        <f t="shared" si="19"/>
        <v>0.11699999999999999</v>
      </c>
      <c r="O29" s="67">
        <f t="shared" si="19"/>
        <v>0.114</v>
      </c>
      <c r="P29" s="67">
        <f t="shared" si="19"/>
        <v>0.11099999999999997</v>
      </c>
      <c r="Q29" s="67">
        <f t="shared" si="19"/>
        <v>0.10799999999999997</v>
      </c>
      <c r="R29" s="67">
        <f t="shared" si="19"/>
        <v>0.105</v>
      </c>
    </row>
    <row r="30" spans="1:18" x14ac:dyDescent="0.25">
      <c r="A30" s="1"/>
      <c r="B30" s="1"/>
      <c r="C30" s="15"/>
      <c r="D30" s="15"/>
      <c r="E30" s="15"/>
      <c r="F30" s="15"/>
      <c r="G30" s="15"/>
      <c r="H30" s="15"/>
      <c r="I30" s="21"/>
      <c r="J30" s="53"/>
      <c r="K30" s="53"/>
      <c r="L30" s="53"/>
      <c r="M30" s="53"/>
      <c r="N30" s="53"/>
      <c r="O30" s="53"/>
      <c r="P30" s="53"/>
      <c r="Q30" s="53"/>
      <c r="R30" s="53"/>
    </row>
    <row r="31" spans="1:18" x14ac:dyDescent="0.25">
      <c r="A31" s="1"/>
      <c r="B31" s="1" t="s">
        <v>14</v>
      </c>
      <c r="C31" s="12">
        <f t="shared" ref="C31:G31" si="20">C16-C19-C22</f>
        <v>61344</v>
      </c>
      <c r="D31" s="12">
        <f t="shared" si="20"/>
        <v>70898</v>
      </c>
      <c r="E31" s="12">
        <f t="shared" si="20"/>
        <v>63930</v>
      </c>
      <c r="F31" s="12">
        <f t="shared" si="20"/>
        <v>66288</v>
      </c>
      <c r="G31" s="12">
        <f t="shared" si="20"/>
        <v>108949</v>
      </c>
      <c r="H31" s="12">
        <f>H16-H28</f>
        <v>119437</v>
      </c>
      <c r="I31" s="73">
        <f t="shared" ref="I31:R31" si="21">I16-I28</f>
        <v>117149.722536</v>
      </c>
      <c r="J31" s="89">
        <f t="shared" si="21"/>
        <v>128385.19825084799</v>
      </c>
      <c r="K31" s="89">
        <f t="shared" si="21"/>
        <v>139706.43846024096</v>
      </c>
      <c r="L31" s="89">
        <f t="shared" si="21"/>
        <v>152236.55369636393</v>
      </c>
      <c r="M31" s="89">
        <f t="shared" si="21"/>
        <v>167834.18146964573</v>
      </c>
      <c r="N31" s="89">
        <f t="shared" si="21"/>
        <v>194716.21802503924</v>
      </c>
      <c r="O31" s="89">
        <f t="shared" si="21"/>
        <v>217258.67684931305</v>
      </c>
      <c r="P31" s="89">
        <f t="shared" si="21"/>
        <v>242531.62497260052</v>
      </c>
      <c r="Q31" s="89">
        <f t="shared" si="21"/>
        <v>271625.71870431374</v>
      </c>
      <c r="R31" s="89">
        <f t="shared" si="21"/>
        <v>304646.88450758322</v>
      </c>
    </row>
    <row r="32" spans="1:18" x14ac:dyDescent="0.25">
      <c r="A32" s="1"/>
      <c r="B32" s="1"/>
      <c r="C32" s="23"/>
      <c r="D32" s="23"/>
      <c r="E32" s="23"/>
      <c r="F32" s="23"/>
      <c r="G32" s="23"/>
      <c r="H32" s="23"/>
      <c r="I32" s="24"/>
      <c r="J32" s="90"/>
      <c r="K32" s="90"/>
      <c r="L32" s="90"/>
      <c r="M32" s="90"/>
      <c r="N32" s="90"/>
      <c r="O32" s="90"/>
      <c r="P32" s="90"/>
      <c r="Q32" s="90"/>
      <c r="R32" s="90"/>
    </row>
    <row r="33" spans="1:86" x14ac:dyDescent="0.25">
      <c r="A33" s="1"/>
      <c r="B33" s="1" t="s">
        <v>16</v>
      </c>
      <c r="C33" s="12">
        <f t="shared" ref="C33:G33" si="22">C31+C25</f>
        <v>64089</v>
      </c>
      <c r="D33" s="12">
        <f t="shared" si="22"/>
        <v>72903</v>
      </c>
      <c r="E33" s="12">
        <f t="shared" si="22"/>
        <v>65737</v>
      </c>
      <c r="F33" s="12">
        <f t="shared" si="22"/>
        <v>67091</v>
      </c>
      <c r="G33" s="12">
        <f t="shared" si="22"/>
        <v>109207</v>
      </c>
      <c r="H33" s="12">
        <f>H31+H25</f>
        <v>119103</v>
      </c>
      <c r="I33" s="73">
        <f>I31+I25</f>
        <v>119047.24461113238</v>
      </c>
      <c r="J33" s="89">
        <f t="shared" ref="J33:R33" si="23">J31+J25</f>
        <v>130417.44439331476</v>
      </c>
      <c r="K33" s="89">
        <f t="shared" si="23"/>
        <v>141868.74835582561</v>
      </c>
      <c r="L33" s="89">
        <f t="shared" si="23"/>
        <v>154541.57604505715</v>
      </c>
      <c r="M33" s="89">
        <f t="shared" si="23"/>
        <v>170321.30058388572</v>
      </c>
      <c r="N33" s="89">
        <f t="shared" si="23"/>
        <v>197541.58533881587</v>
      </c>
      <c r="O33" s="89">
        <f t="shared" si="23"/>
        <v>220346.80332327093</v>
      </c>
      <c r="P33" s="89">
        <f t="shared" si="23"/>
        <v>245910.03533511041</v>
      </c>
      <c r="Q33" s="89">
        <f t="shared" si="23"/>
        <v>275335.21328234964</v>
      </c>
      <c r="R33" s="89">
        <f t="shared" si="23"/>
        <v>308727.32854342269</v>
      </c>
    </row>
    <row r="34" spans="1:86" x14ac:dyDescent="0.25">
      <c r="A34" s="1"/>
      <c r="B34" s="1"/>
      <c r="C34" s="23"/>
      <c r="D34" s="23"/>
      <c r="E34" s="23"/>
      <c r="F34" s="23"/>
      <c r="G34" s="23"/>
      <c r="H34" s="23"/>
      <c r="I34" s="13"/>
      <c r="J34" s="87"/>
      <c r="K34" s="87"/>
      <c r="L34" s="87"/>
      <c r="M34" s="87"/>
      <c r="N34" s="87"/>
      <c r="O34" s="87"/>
      <c r="P34" s="87"/>
      <c r="Q34" s="87"/>
      <c r="R34" s="90"/>
    </row>
    <row r="35" spans="1:86" x14ac:dyDescent="0.25">
      <c r="A35" s="1"/>
      <c r="B35" s="1" t="s">
        <v>17</v>
      </c>
      <c r="C35" s="12">
        <f t="shared" ref="C35:G35" si="24">C31</f>
        <v>61344</v>
      </c>
      <c r="D35" s="12">
        <f t="shared" si="24"/>
        <v>70898</v>
      </c>
      <c r="E35" s="12">
        <f t="shared" si="24"/>
        <v>63930</v>
      </c>
      <c r="F35" s="12">
        <f>F31</f>
        <v>66288</v>
      </c>
      <c r="G35" s="12">
        <f t="shared" si="24"/>
        <v>108949</v>
      </c>
      <c r="H35" s="12">
        <f>H31</f>
        <v>119437</v>
      </c>
      <c r="I35" s="73">
        <f t="shared" ref="I35:R35" si="25">I31</f>
        <v>117149.722536</v>
      </c>
      <c r="J35" s="89">
        <f t="shared" si="25"/>
        <v>128385.19825084799</v>
      </c>
      <c r="K35" s="89">
        <f t="shared" si="25"/>
        <v>139706.43846024096</v>
      </c>
      <c r="L35" s="89">
        <f t="shared" si="25"/>
        <v>152236.55369636393</v>
      </c>
      <c r="M35" s="89">
        <f t="shared" si="25"/>
        <v>167834.18146964573</v>
      </c>
      <c r="N35" s="89">
        <f t="shared" si="25"/>
        <v>194716.21802503924</v>
      </c>
      <c r="O35" s="89">
        <f t="shared" si="25"/>
        <v>217258.67684931305</v>
      </c>
      <c r="P35" s="89">
        <f t="shared" si="25"/>
        <v>242531.62497260052</v>
      </c>
      <c r="Q35" s="89">
        <f t="shared" si="25"/>
        <v>271625.71870431374</v>
      </c>
      <c r="R35" s="89">
        <f t="shared" si="25"/>
        <v>304646.88450758322</v>
      </c>
    </row>
    <row r="36" spans="1:86" x14ac:dyDescent="0.25">
      <c r="A36" s="1"/>
      <c r="B36" s="83" t="s">
        <v>18</v>
      </c>
      <c r="C36" s="84">
        <f t="shared" ref="C36:I36" si="26">C35/C11</f>
        <v>0.26760428208729942</v>
      </c>
      <c r="D36" s="84">
        <f t="shared" si="26"/>
        <v>0.26694026619477024</v>
      </c>
      <c r="E36" s="84">
        <f t="shared" si="26"/>
        <v>0.24572017188496928</v>
      </c>
      <c r="F36" s="84">
        <f t="shared" si="26"/>
        <v>0.24147314354406862</v>
      </c>
      <c r="G36" s="84">
        <f t="shared" si="26"/>
        <v>0.29782377527561593</v>
      </c>
      <c r="H36" s="84">
        <f t="shared" si="26"/>
        <v>0.30288744395528594</v>
      </c>
      <c r="I36" s="70">
        <f t="shared" si="26"/>
        <v>0.30100000000000005</v>
      </c>
      <c r="J36" s="66">
        <f t="shared" ref="J36:R36" si="27">J35/J11</f>
        <v>0.308</v>
      </c>
      <c r="K36" s="66">
        <f t="shared" si="27"/>
        <v>0.315</v>
      </c>
      <c r="L36" s="66">
        <f t="shared" si="27"/>
        <v>0.32200000000000001</v>
      </c>
      <c r="M36" s="66">
        <f t="shared" si="27"/>
        <v>0.32900000000000001</v>
      </c>
      <c r="N36" s="66">
        <f t="shared" si="27"/>
        <v>0.33600000000000002</v>
      </c>
      <c r="O36" s="66">
        <f t="shared" si="27"/>
        <v>0.34300000000000003</v>
      </c>
      <c r="P36" s="66">
        <f t="shared" si="27"/>
        <v>0.35000000000000003</v>
      </c>
      <c r="Q36" s="66">
        <f t="shared" si="27"/>
        <v>0.3570000000000001</v>
      </c>
      <c r="R36" s="66">
        <f t="shared" si="27"/>
        <v>0.36400000000000005</v>
      </c>
    </row>
    <row r="37" spans="1:86" x14ac:dyDescent="0.25">
      <c r="A37" s="1"/>
      <c r="B37" s="14"/>
      <c r="C37" s="1"/>
      <c r="D37" s="1"/>
      <c r="F37" s="1"/>
      <c r="G37" s="1"/>
      <c r="H37" s="1"/>
      <c r="I37" s="13"/>
      <c r="J37" s="87"/>
      <c r="K37" s="87"/>
      <c r="L37" s="87"/>
      <c r="M37" s="87"/>
      <c r="N37" s="87"/>
      <c r="O37" s="90"/>
      <c r="P37" s="90"/>
      <c r="Q37" s="90"/>
      <c r="R37" s="90"/>
    </row>
    <row r="38" spans="1:86" x14ac:dyDescent="0.25">
      <c r="A38" s="1"/>
      <c r="B38" s="1" t="s">
        <v>19</v>
      </c>
      <c r="C38" s="12">
        <v>15738</v>
      </c>
      <c r="D38" s="12">
        <v>13372</v>
      </c>
      <c r="E38" s="25">
        <v>10481</v>
      </c>
      <c r="F38" s="12">
        <v>9680</v>
      </c>
      <c r="G38" s="12">
        <v>14527</v>
      </c>
      <c r="H38" s="19">
        <v>19300</v>
      </c>
      <c r="I38" s="22">
        <f>I39*I35</f>
        <v>18755.6705780136</v>
      </c>
      <c r="J38" s="88">
        <f t="shared" ref="J38:R38" si="28">J39*J35</f>
        <v>20747.048037337034</v>
      </c>
      <c r="K38" s="88">
        <f t="shared" si="28"/>
        <v>22576.560455174938</v>
      </c>
      <c r="L38" s="88">
        <f t="shared" si="28"/>
        <v>24601.42707733241</v>
      </c>
      <c r="M38" s="88">
        <f t="shared" si="28"/>
        <v>27122.003725494749</v>
      </c>
      <c r="N38" s="88">
        <f t="shared" si="28"/>
        <v>31466.14083284634</v>
      </c>
      <c r="O38" s="88">
        <f t="shared" si="28"/>
        <v>35109.00217884899</v>
      </c>
      <c r="P38" s="88">
        <f t="shared" si="28"/>
        <v>39193.110595572245</v>
      </c>
      <c r="Q38" s="88">
        <f t="shared" si="28"/>
        <v>43894.716142617101</v>
      </c>
      <c r="R38" s="88">
        <f t="shared" si="28"/>
        <v>49230.936536425448</v>
      </c>
    </row>
    <row r="39" spans="1:86" x14ac:dyDescent="0.25">
      <c r="A39" s="1"/>
      <c r="B39" s="83" t="s">
        <v>20</v>
      </c>
      <c r="C39" s="85">
        <f>C38/C35</f>
        <v>0.25655320813771521</v>
      </c>
      <c r="D39" s="85">
        <f t="shared" ref="D39:G39" si="29">D38/D35</f>
        <v>0.18860898755959266</v>
      </c>
      <c r="E39" s="85">
        <f t="shared" si="29"/>
        <v>0.16394493977788205</v>
      </c>
      <c r="F39" s="85">
        <f>F38/F35</f>
        <v>0.14602944726043929</v>
      </c>
      <c r="G39" s="85">
        <f t="shared" si="29"/>
        <v>0.13333761668303518</v>
      </c>
      <c r="H39" s="85">
        <f>H38/H35</f>
        <v>0.16159146663094351</v>
      </c>
      <c r="I39" s="72">
        <v>0.16009999999999999</v>
      </c>
      <c r="J39" s="79">
        <v>0.16159999999999999</v>
      </c>
      <c r="K39" s="79">
        <v>0.16159999999999999</v>
      </c>
      <c r="L39" s="79">
        <v>0.16159999999999999</v>
      </c>
      <c r="M39" s="79">
        <v>0.16159999999999999</v>
      </c>
      <c r="N39" s="79">
        <v>0.16159999999999999</v>
      </c>
      <c r="O39" s="79">
        <v>0.16159999999999999</v>
      </c>
      <c r="P39" s="79">
        <v>0.16159999999999999</v>
      </c>
      <c r="Q39" s="79">
        <v>0.16159999999999999</v>
      </c>
      <c r="R39" s="79">
        <v>0.16159999999999999</v>
      </c>
    </row>
    <row r="40" spans="1:86" x14ac:dyDescent="0.25">
      <c r="A40" s="1"/>
      <c r="B40" s="1"/>
      <c r="C40" s="1"/>
      <c r="D40" s="1"/>
      <c r="E40" s="1"/>
      <c r="F40" s="1"/>
      <c r="G40" s="1"/>
      <c r="H40" s="1"/>
      <c r="I40" s="13"/>
      <c r="J40" s="1"/>
      <c r="K40" s="1"/>
      <c r="L40" s="1"/>
      <c r="M40" s="1"/>
      <c r="N40" s="1"/>
      <c r="O40" s="1"/>
      <c r="P40" s="1"/>
      <c r="Q40" s="1"/>
    </row>
    <row r="41" spans="1:86" x14ac:dyDescent="0.25">
      <c r="A41" s="1"/>
      <c r="B41" s="10" t="s">
        <v>21</v>
      </c>
      <c r="C41" s="10">
        <v>2017</v>
      </c>
      <c r="D41" s="10">
        <f>C41+1</f>
        <v>2018</v>
      </c>
      <c r="E41" s="10">
        <f>D41+1</f>
        <v>2019</v>
      </c>
      <c r="F41" s="10">
        <v>2020</v>
      </c>
      <c r="G41" s="10">
        <v>2021</v>
      </c>
      <c r="H41" s="10">
        <v>2022</v>
      </c>
      <c r="I41" s="74">
        <v>2023</v>
      </c>
      <c r="J41" s="10">
        <v>2024</v>
      </c>
      <c r="K41" s="10">
        <v>2025</v>
      </c>
      <c r="L41" s="10">
        <v>2026</v>
      </c>
      <c r="M41" s="10">
        <v>2027</v>
      </c>
      <c r="N41" s="10">
        <v>2028</v>
      </c>
      <c r="O41" s="10">
        <v>2029</v>
      </c>
      <c r="P41" s="10">
        <v>2030</v>
      </c>
      <c r="Q41" s="10">
        <v>2031</v>
      </c>
      <c r="R41" s="10">
        <v>2032</v>
      </c>
      <c r="S41" s="10">
        <v>2033</v>
      </c>
      <c r="T41" s="10">
        <v>2034</v>
      </c>
      <c r="U41" s="10">
        <v>2035</v>
      </c>
      <c r="V41" s="10">
        <v>2036</v>
      </c>
      <c r="W41" s="10">
        <v>2037</v>
      </c>
      <c r="X41" s="10">
        <v>2038</v>
      </c>
      <c r="Y41" s="10">
        <v>2039</v>
      </c>
      <c r="Z41" s="10">
        <v>2040</v>
      </c>
      <c r="AA41" s="10">
        <v>2041</v>
      </c>
      <c r="AB41" s="10">
        <v>2042</v>
      </c>
      <c r="AC41" s="10">
        <v>2043</v>
      </c>
      <c r="AD41" s="10">
        <v>2044</v>
      </c>
      <c r="AE41" s="10">
        <v>2045</v>
      </c>
      <c r="AF41" s="10">
        <v>2046</v>
      </c>
      <c r="AG41" s="10">
        <v>2047</v>
      </c>
      <c r="AH41" s="10">
        <v>2048</v>
      </c>
      <c r="AI41" s="10">
        <v>2049</v>
      </c>
      <c r="AJ41" s="10">
        <v>2050</v>
      </c>
      <c r="AK41" s="10">
        <v>2051</v>
      </c>
      <c r="AL41" s="10">
        <v>2052</v>
      </c>
      <c r="AM41" s="10">
        <v>2053</v>
      </c>
      <c r="AN41" s="10">
        <v>2054</v>
      </c>
      <c r="AO41" s="10">
        <v>2055</v>
      </c>
      <c r="AP41" s="10">
        <v>2056</v>
      </c>
      <c r="AQ41" s="10">
        <v>2057</v>
      </c>
      <c r="AR41" s="10">
        <v>2058</v>
      </c>
      <c r="AS41" s="10">
        <v>2059</v>
      </c>
      <c r="AT41" s="10">
        <v>2060</v>
      </c>
      <c r="AU41" s="10">
        <v>2061</v>
      </c>
      <c r="AV41" s="10">
        <v>2062</v>
      </c>
      <c r="AW41" s="10">
        <v>2063</v>
      </c>
      <c r="AX41" s="10">
        <v>2064</v>
      </c>
      <c r="AY41" s="10">
        <v>2065</v>
      </c>
      <c r="AZ41" s="10">
        <v>2066</v>
      </c>
      <c r="BA41" s="10">
        <v>2067</v>
      </c>
      <c r="BB41" s="10">
        <v>2068</v>
      </c>
      <c r="BC41" s="10">
        <v>2069</v>
      </c>
      <c r="BD41" s="10">
        <v>2070</v>
      </c>
      <c r="BE41" s="10">
        <v>2071</v>
      </c>
      <c r="BF41" s="10">
        <v>2072</v>
      </c>
      <c r="BG41" s="10">
        <v>2073</v>
      </c>
      <c r="BH41" s="10">
        <v>2074</v>
      </c>
      <c r="BI41" s="10">
        <v>2075</v>
      </c>
      <c r="BJ41" s="10">
        <v>2076</v>
      </c>
      <c r="BK41" s="10">
        <v>2077</v>
      </c>
      <c r="BL41" s="10">
        <v>2078</v>
      </c>
      <c r="BM41" s="10">
        <v>2079</v>
      </c>
      <c r="BN41" s="10">
        <v>2080</v>
      </c>
      <c r="BO41" s="10">
        <v>2081</v>
      </c>
      <c r="BP41" s="10">
        <v>2082</v>
      </c>
      <c r="BQ41" s="10">
        <v>2083</v>
      </c>
      <c r="BR41" s="10">
        <v>2084</v>
      </c>
      <c r="BS41" s="10">
        <v>2085</v>
      </c>
      <c r="BT41" s="10">
        <v>2086</v>
      </c>
      <c r="BU41" s="10">
        <v>2087</v>
      </c>
      <c r="BV41" s="10">
        <v>2088</v>
      </c>
      <c r="BW41" s="10">
        <v>2089</v>
      </c>
      <c r="BX41" s="10">
        <v>2090</v>
      </c>
      <c r="BY41" s="10">
        <v>2091</v>
      </c>
      <c r="BZ41" s="10">
        <v>2092</v>
      </c>
      <c r="CA41" s="10">
        <v>2093</v>
      </c>
      <c r="CB41" s="10">
        <v>2094</v>
      </c>
      <c r="CC41" s="10">
        <v>2095</v>
      </c>
      <c r="CD41" s="10">
        <v>2096</v>
      </c>
      <c r="CE41" s="10">
        <v>2097</v>
      </c>
      <c r="CF41" s="10">
        <v>2098</v>
      </c>
      <c r="CG41" s="10">
        <v>2099</v>
      </c>
      <c r="CH41" s="10">
        <v>2100</v>
      </c>
    </row>
    <row r="42" spans="1:86" x14ac:dyDescent="0.25">
      <c r="A42" s="1"/>
      <c r="B42" s="1" t="s">
        <v>22</v>
      </c>
      <c r="C42" s="12">
        <v>12547</v>
      </c>
      <c r="D42" s="12">
        <v>10903</v>
      </c>
      <c r="E42" s="25">
        <v>10157</v>
      </c>
      <c r="F42" s="12">
        <v>11056</v>
      </c>
      <c r="G42" s="12">
        <v>11284</v>
      </c>
      <c r="H42" s="12">
        <v>11104</v>
      </c>
      <c r="I42" s="22">
        <f t="shared" ref="I42:R42" si="30">I43*I11</f>
        <v>10508.446871999999</v>
      </c>
      <c r="J42" s="19">
        <f t="shared" si="30"/>
        <v>10420.876481400001</v>
      </c>
      <c r="K42" s="19">
        <f t="shared" si="30"/>
        <v>10200.787570112831</v>
      </c>
      <c r="L42" s="19">
        <f t="shared" si="30"/>
        <v>9928.4708932411249</v>
      </c>
      <c r="M42" s="19">
        <f t="shared" si="30"/>
        <v>10202.68580362588</v>
      </c>
      <c r="N42" s="19">
        <f t="shared" si="30"/>
        <v>11590.251072919002</v>
      </c>
      <c r="O42" s="19">
        <f t="shared" si="30"/>
        <v>12668.144422700469</v>
      </c>
      <c r="P42" s="19">
        <f t="shared" si="30"/>
        <v>13858.949998434315</v>
      </c>
      <c r="Q42" s="19">
        <f t="shared" si="30"/>
        <v>15217.127098280878</v>
      </c>
      <c r="R42" s="19">
        <f t="shared" si="30"/>
        <v>16738.839808108969</v>
      </c>
    </row>
    <row r="43" spans="1:86" x14ac:dyDescent="0.25">
      <c r="A43" s="1"/>
      <c r="B43" s="83" t="s">
        <v>18</v>
      </c>
      <c r="C43" s="84">
        <f t="shared" ref="C43:H43" si="31">C42/C11</f>
        <v>5.4734463474004728E-2</v>
      </c>
      <c r="D43" s="84">
        <f t="shared" si="31"/>
        <v>4.1051224608897006E-2</v>
      </c>
      <c r="E43" s="84">
        <f t="shared" si="31"/>
        <v>3.9039258342493867E-2</v>
      </c>
      <c r="F43" s="84">
        <f t="shared" si="31"/>
        <v>4.0274666229532081E-2</v>
      </c>
      <c r="G43" s="84">
        <f t="shared" si="31"/>
        <v>3.084602410494865E-2</v>
      </c>
      <c r="H43" s="84">
        <f t="shared" si="31"/>
        <v>2.8159298857803657E-2</v>
      </c>
      <c r="I43" s="21">
        <v>2.7E-2</v>
      </c>
      <c r="J43" s="53">
        <v>2.5000000000000001E-2</v>
      </c>
      <c r="K43" s="53">
        <v>2.3E-2</v>
      </c>
      <c r="L43" s="53">
        <v>2.1000000000000001E-2</v>
      </c>
      <c r="M43" s="53">
        <v>0.02</v>
      </c>
      <c r="N43" s="53">
        <v>0.02</v>
      </c>
      <c r="O43" s="53">
        <v>0.02</v>
      </c>
      <c r="P43" s="53">
        <v>0.02</v>
      </c>
      <c r="Q43" s="53">
        <v>0.02</v>
      </c>
      <c r="R43" s="53">
        <v>0.02</v>
      </c>
    </row>
    <row r="44" spans="1:86" x14ac:dyDescent="0.25">
      <c r="A44" s="1"/>
      <c r="B44" s="1"/>
      <c r="C44" s="1"/>
      <c r="D44" s="1"/>
      <c r="F44" s="1"/>
      <c r="G44" s="1"/>
      <c r="H44" s="1"/>
      <c r="I44" s="13"/>
      <c r="J44" s="1"/>
      <c r="K44" s="1"/>
      <c r="L44" s="1"/>
      <c r="M44" s="1"/>
      <c r="N44" s="1"/>
    </row>
    <row r="45" spans="1:86" x14ac:dyDescent="0.25">
      <c r="A45" s="1"/>
      <c r="B45" s="1" t="s">
        <v>23</v>
      </c>
      <c r="C45" s="12">
        <v>-10495</v>
      </c>
      <c r="D45" s="12">
        <v>-13313</v>
      </c>
      <c r="E45" s="25">
        <v>-12451</v>
      </c>
      <c r="F45" s="12">
        <v>-7309</v>
      </c>
      <c r="G45" s="12">
        <v>-11085</v>
      </c>
      <c r="H45" s="12">
        <v>-10708</v>
      </c>
      <c r="I45" s="22">
        <f t="shared" ref="I45:R45" si="32">I46*I11</f>
        <v>-10179.594263999999</v>
      </c>
      <c r="J45" s="88">
        <f t="shared" si="32"/>
        <v>-10485.510397487998</v>
      </c>
      <c r="K45" s="88">
        <f t="shared" si="32"/>
        <v>-10713.070559878846</v>
      </c>
      <c r="L45" s="88">
        <f t="shared" si="32"/>
        <v>-11346.823877989857</v>
      </c>
      <c r="M45" s="88">
        <f t="shared" si="32"/>
        <v>-12243.222964351056</v>
      </c>
      <c r="N45" s="88">
        <f t="shared" si="32"/>
        <v>-13908.301287502802</v>
      </c>
      <c r="O45" s="88">
        <f t="shared" si="32"/>
        <v>-15201.773307240563</v>
      </c>
      <c r="P45" s="88">
        <f t="shared" si="32"/>
        <v>-16630.739998121178</v>
      </c>
      <c r="Q45" s="88">
        <f t="shared" si="32"/>
        <v>-18260.552517937056</v>
      </c>
      <c r="R45" s="88">
        <f t="shared" si="32"/>
        <v>-20086.607769730763</v>
      </c>
    </row>
    <row r="46" spans="1:86" x14ac:dyDescent="0.25">
      <c r="A46" s="1"/>
      <c r="B46" s="83" t="s">
        <v>18</v>
      </c>
      <c r="C46" s="84">
        <f t="shared" ref="C46:H46" si="33">C45/C11</f>
        <v>-4.578291178446478E-2</v>
      </c>
      <c r="D46" s="84">
        <f t="shared" si="33"/>
        <v>-5.0125190609762983E-2</v>
      </c>
      <c r="E46" s="84">
        <f t="shared" si="33"/>
        <v>-4.7856434539961717E-2</v>
      </c>
      <c r="F46" s="84">
        <f t="shared" si="33"/>
        <v>-2.6625138881299748E-2</v>
      </c>
      <c r="G46" s="84">
        <f t="shared" si="33"/>
        <v>-3.0302036264033657E-2</v>
      </c>
      <c r="H46" s="84">
        <f t="shared" si="33"/>
        <v>-2.7155058732831552E-2</v>
      </c>
      <c r="I46" s="21">
        <f>H46+0.1%</f>
        <v>-2.6155058732831551E-2</v>
      </c>
      <c r="J46" s="53">
        <f t="shared" ref="J46:K46" si="34">I46+0.1%</f>
        <v>-2.515505873283155E-2</v>
      </c>
      <c r="K46" s="53">
        <f t="shared" si="34"/>
        <v>-2.4155058732831549E-2</v>
      </c>
      <c r="L46" s="53">
        <f>-2.4%</f>
        <v>-2.4E-2</v>
      </c>
      <c r="M46" s="53">
        <f t="shared" ref="M46:R46" si="35">-2.4%</f>
        <v>-2.4E-2</v>
      </c>
      <c r="N46" s="53">
        <f t="shared" si="35"/>
        <v>-2.4E-2</v>
      </c>
      <c r="O46" s="53">
        <f t="shared" si="35"/>
        <v>-2.4E-2</v>
      </c>
      <c r="P46" s="53">
        <f t="shared" si="35"/>
        <v>-2.4E-2</v>
      </c>
      <c r="Q46" s="53">
        <f t="shared" si="35"/>
        <v>-2.4E-2</v>
      </c>
      <c r="R46" s="53">
        <f t="shared" si="35"/>
        <v>-2.4E-2</v>
      </c>
    </row>
    <row r="47" spans="1:86" x14ac:dyDescent="0.25">
      <c r="A47" s="1"/>
      <c r="B47" s="1"/>
      <c r="C47" s="1"/>
      <c r="D47" s="1"/>
      <c r="F47" s="1"/>
      <c r="G47" s="1"/>
      <c r="H47" s="1"/>
      <c r="I47" s="13"/>
      <c r="J47" s="87"/>
      <c r="K47" s="87"/>
      <c r="L47" s="87"/>
      <c r="M47" s="87"/>
      <c r="N47" s="87"/>
      <c r="O47" s="90"/>
      <c r="P47" s="90"/>
      <c r="Q47" s="90"/>
      <c r="R47" s="90"/>
    </row>
    <row r="48" spans="1:86" x14ac:dyDescent="0.25">
      <c r="A48" s="1"/>
      <c r="B48" s="1" t="s">
        <v>24</v>
      </c>
      <c r="C48" s="1">
        <v>-3488</v>
      </c>
      <c r="D48" s="1">
        <v>34694</v>
      </c>
      <c r="E48" s="2">
        <v>-4923</v>
      </c>
      <c r="F48" s="39">
        <v>5690</v>
      </c>
      <c r="G48" s="39">
        <v>-4911</v>
      </c>
      <c r="H48" s="39">
        <v>1200</v>
      </c>
      <c r="I48" s="22">
        <f t="shared" ref="I48:R48" si="36">I49*I11</f>
        <v>-3892.0173599999998</v>
      </c>
      <c r="J48" s="88">
        <f t="shared" si="36"/>
        <v>-4168.3505925600002</v>
      </c>
      <c r="K48" s="88">
        <f t="shared" si="36"/>
        <v>2217.5625152419198</v>
      </c>
      <c r="L48" s="88">
        <f t="shared" si="36"/>
        <v>2363.9216412478868</v>
      </c>
      <c r="M48" s="88">
        <f t="shared" si="36"/>
        <v>2550.67145090647</v>
      </c>
      <c r="N48" s="88">
        <f t="shared" si="36"/>
        <v>5795.1255364595008</v>
      </c>
      <c r="O48" s="88">
        <f t="shared" si="36"/>
        <v>9501.1083170253514</v>
      </c>
      <c r="P48" s="88">
        <f t="shared" si="36"/>
        <v>10394.212498825735</v>
      </c>
      <c r="Q48" s="88">
        <f t="shared" si="36"/>
        <v>11412.845323710659</v>
      </c>
      <c r="R48" s="88">
        <f t="shared" si="36"/>
        <v>12554.129856081725</v>
      </c>
    </row>
    <row r="49" spans="1:86" x14ac:dyDescent="0.25">
      <c r="A49" s="1"/>
      <c r="B49" s="83" t="s">
        <v>18</v>
      </c>
      <c r="C49" s="84">
        <f t="shared" ref="C49:H49" si="37">C48/C11</f>
        <v>-1.5215892930368095E-2</v>
      </c>
      <c r="D49" s="84">
        <f t="shared" si="37"/>
        <v>0.13062745910126319</v>
      </c>
      <c r="E49" s="84">
        <f t="shared" si="37"/>
        <v>-1.8921952231967836E-2</v>
      </c>
      <c r="F49" s="84">
        <f t="shared" si="37"/>
        <v>2.0727464801559112E-2</v>
      </c>
      <c r="G49" s="84">
        <f t="shared" si="37"/>
        <v>-1.3424745159464978E-2</v>
      </c>
      <c r="H49" s="84">
        <f t="shared" si="37"/>
        <v>3.0431518938548621E-3</v>
      </c>
      <c r="I49" s="75">
        <v>-0.01</v>
      </c>
      <c r="J49" s="91">
        <v>-0.01</v>
      </c>
      <c r="K49" s="91">
        <v>5.0000000000000001E-3</v>
      </c>
      <c r="L49" s="91">
        <v>5.0000000000000001E-3</v>
      </c>
      <c r="M49" s="91">
        <v>5.0000000000000001E-3</v>
      </c>
      <c r="N49" s="91">
        <v>0.01</v>
      </c>
      <c r="O49" s="91">
        <v>1.4999999999999999E-2</v>
      </c>
      <c r="P49" s="91">
        <v>1.4999999999999999E-2</v>
      </c>
      <c r="Q49" s="91">
        <v>1.4999999999999999E-2</v>
      </c>
      <c r="R49" s="91">
        <v>1.4999999999999999E-2</v>
      </c>
    </row>
    <row r="50" spans="1:86" x14ac:dyDescent="0.25">
      <c r="A50" s="1"/>
      <c r="B50" s="1"/>
      <c r="C50" s="1"/>
      <c r="D50" s="1"/>
      <c r="E50" s="1"/>
      <c r="F50" s="1"/>
      <c r="G50" s="1"/>
      <c r="H50" s="1"/>
      <c r="I50" s="13"/>
      <c r="J50" s="87"/>
      <c r="K50" s="87"/>
      <c r="L50" s="87"/>
      <c r="M50" s="87"/>
      <c r="N50" s="87"/>
      <c r="O50" s="87"/>
      <c r="P50" s="87"/>
      <c r="Q50" s="87"/>
      <c r="R50" s="90"/>
    </row>
    <row r="51" spans="1:86" x14ac:dyDescent="0.25">
      <c r="A51" s="1"/>
      <c r="B51" s="10" t="s">
        <v>25</v>
      </c>
      <c r="C51" s="12">
        <f t="shared" ref="C51:G51" si="38">C35+C38</f>
        <v>77082</v>
      </c>
      <c r="D51" s="12">
        <f t="shared" si="38"/>
        <v>84270</v>
      </c>
      <c r="E51" s="12">
        <f t="shared" si="38"/>
        <v>74411</v>
      </c>
      <c r="F51" s="12">
        <f t="shared" si="38"/>
        <v>75968</v>
      </c>
      <c r="G51" s="12">
        <f t="shared" si="38"/>
        <v>123476</v>
      </c>
      <c r="H51" s="12">
        <f>H35+H38</f>
        <v>138737</v>
      </c>
      <c r="I51" s="73">
        <f>I35+I38</f>
        <v>135905.3931140136</v>
      </c>
      <c r="J51" s="89">
        <f t="shared" ref="J51:R51" si="39">J35+J38</f>
        <v>149132.24628818501</v>
      </c>
      <c r="K51" s="89">
        <f t="shared" si="39"/>
        <v>162282.9989154159</v>
      </c>
      <c r="L51" s="89">
        <f t="shared" si="39"/>
        <v>176837.98077369633</v>
      </c>
      <c r="M51" s="89">
        <f t="shared" si="39"/>
        <v>194956.18519514048</v>
      </c>
      <c r="N51" s="89">
        <f t="shared" si="39"/>
        <v>226182.35885788559</v>
      </c>
      <c r="O51" s="89">
        <f t="shared" si="39"/>
        <v>252367.67902816203</v>
      </c>
      <c r="P51" s="89">
        <f t="shared" si="39"/>
        <v>281724.73556817276</v>
      </c>
      <c r="Q51" s="89">
        <f t="shared" si="39"/>
        <v>315520.43484693085</v>
      </c>
      <c r="R51" s="89">
        <f t="shared" si="39"/>
        <v>353877.82104400866</v>
      </c>
    </row>
    <row r="52" spans="1:86" x14ac:dyDescent="0.25">
      <c r="A52" s="1"/>
      <c r="B52" s="10" t="s">
        <v>26</v>
      </c>
      <c r="C52" s="12">
        <f t="shared" ref="C52:G52" si="40">C33-C38</f>
        <v>48351</v>
      </c>
      <c r="D52" s="12">
        <f t="shared" si="40"/>
        <v>59531</v>
      </c>
      <c r="E52" s="12">
        <f t="shared" si="40"/>
        <v>55256</v>
      </c>
      <c r="F52" s="12">
        <f t="shared" si="40"/>
        <v>57411</v>
      </c>
      <c r="G52" s="12">
        <f t="shared" si="40"/>
        <v>94680</v>
      </c>
      <c r="H52" s="12">
        <f>H33-H38</f>
        <v>99803</v>
      </c>
      <c r="I52" s="73">
        <f>I33-I38</f>
        <v>100291.57403311878</v>
      </c>
      <c r="J52" s="89">
        <f t="shared" ref="J52:R52" si="41">J33-J38</f>
        <v>109670.39635597772</v>
      </c>
      <c r="K52" s="89">
        <f t="shared" si="41"/>
        <v>119292.18790065066</v>
      </c>
      <c r="L52" s="89">
        <f t="shared" si="41"/>
        <v>129940.14896772474</v>
      </c>
      <c r="M52" s="89">
        <f t="shared" si="41"/>
        <v>143199.29685839097</v>
      </c>
      <c r="N52" s="89">
        <f t="shared" si="41"/>
        <v>166075.44450596953</v>
      </c>
      <c r="O52" s="89">
        <f t="shared" si="41"/>
        <v>185237.80114442194</v>
      </c>
      <c r="P52" s="89">
        <f t="shared" si="41"/>
        <v>206716.92473953817</v>
      </c>
      <c r="Q52" s="89">
        <f t="shared" si="41"/>
        <v>231440.49713973253</v>
      </c>
      <c r="R52" s="89">
        <f t="shared" si="41"/>
        <v>259496.39200699725</v>
      </c>
      <c r="S52" s="65">
        <f>R52*(1+$E$6)</f>
        <v>262091.35592706723</v>
      </c>
      <c r="T52" s="65">
        <f t="shared" ref="T52:CE52" si="42">S52*(1+$E$6)</f>
        <v>264712.2694863379</v>
      </c>
      <c r="U52" s="65">
        <f t="shared" si="42"/>
        <v>267359.39218120126</v>
      </c>
      <c r="V52" s="65">
        <f t="shared" si="42"/>
        <v>270032.98610301327</v>
      </c>
      <c r="W52" s="65">
        <f t="shared" si="42"/>
        <v>272733.31596404343</v>
      </c>
      <c r="X52" s="65">
        <f t="shared" si="42"/>
        <v>275460.64912368386</v>
      </c>
      <c r="Y52" s="65">
        <f t="shared" si="42"/>
        <v>278215.25561492069</v>
      </c>
      <c r="Z52" s="65">
        <f t="shared" si="42"/>
        <v>280997.40817106992</v>
      </c>
      <c r="AA52" s="65">
        <f t="shared" si="42"/>
        <v>283807.3822527806</v>
      </c>
      <c r="AB52" s="65">
        <f t="shared" si="42"/>
        <v>286645.45607530844</v>
      </c>
      <c r="AC52" s="65">
        <f t="shared" si="42"/>
        <v>289511.91063606151</v>
      </c>
      <c r="AD52" s="65">
        <f t="shared" si="42"/>
        <v>292407.02974242211</v>
      </c>
      <c r="AE52" s="65">
        <f t="shared" si="42"/>
        <v>295331.10003984632</v>
      </c>
      <c r="AF52" s="65">
        <f t="shared" si="42"/>
        <v>298284.4110402448</v>
      </c>
      <c r="AG52" s="65">
        <f t="shared" si="42"/>
        <v>301267.25515064725</v>
      </c>
      <c r="AH52" s="65">
        <f t="shared" si="42"/>
        <v>304279.92770215374</v>
      </c>
      <c r="AI52" s="65">
        <f t="shared" si="42"/>
        <v>307322.72697917529</v>
      </c>
      <c r="AJ52" s="65">
        <f t="shared" si="42"/>
        <v>310395.95424896706</v>
      </c>
      <c r="AK52" s="65">
        <f t="shared" si="42"/>
        <v>313499.91379145673</v>
      </c>
      <c r="AL52" s="65">
        <f t="shared" si="42"/>
        <v>316634.91292937129</v>
      </c>
      <c r="AM52" s="65">
        <f t="shared" si="42"/>
        <v>319801.26205866499</v>
      </c>
      <c r="AN52" s="65">
        <f t="shared" si="42"/>
        <v>322999.27467925166</v>
      </c>
      <c r="AO52" s="65">
        <f t="shared" si="42"/>
        <v>326229.26742604416</v>
      </c>
      <c r="AP52" s="65">
        <f t="shared" si="42"/>
        <v>329491.5601003046</v>
      </c>
      <c r="AQ52" s="65">
        <f t="shared" si="42"/>
        <v>332786.47570130765</v>
      </c>
      <c r="AR52" s="65">
        <f t="shared" si="42"/>
        <v>336114.34045832074</v>
      </c>
      <c r="AS52" s="65">
        <f t="shared" si="42"/>
        <v>339475.48386290396</v>
      </c>
      <c r="AT52" s="65">
        <f t="shared" si="42"/>
        <v>342870.238701533</v>
      </c>
      <c r="AU52" s="65">
        <f t="shared" si="42"/>
        <v>346298.94108854834</v>
      </c>
      <c r="AV52" s="65">
        <f t="shared" si="42"/>
        <v>349761.93049943383</v>
      </c>
      <c r="AW52" s="65">
        <f t="shared" si="42"/>
        <v>353259.54980442818</v>
      </c>
      <c r="AX52" s="65">
        <f t="shared" si="42"/>
        <v>356792.14530247246</v>
      </c>
      <c r="AY52" s="65">
        <f t="shared" si="42"/>
        <v>360360.06675549719</v>
      </c>
      <c r="AZ52" s="65">
        <f t="shared" si="42"/>
        <v>363963.66742305219</v>
      </c>
      <c r="BA52" s="65">
        <f t="shared" si="42"/>
        <v>367603.3040972827</v>
      </c>
      <c r="BB52" s="65">
        <f t="shared" si="42"/>
        <v>371279.33713825553</v>
      </c>
      <c r="BC52" s="65">
        <f t="shared" si="42"/>
        <v>374992.13050963811</v>
      </c>
      <c r="BD52" s="65">
        <f t="shared" si="42"/>
        <v>378742.05181473447</v>
      </c>
      <c r="BE52" s="65">
        <f t="shared" si="42"/>
        <v>382529.47233288182</v>
      </c>
      <c r="BF52" s="65">
        <f t="shared" si="42"/>
        <v>386354.76705621067</v>
      </c>
      <c r="BG52" s="65">
        <f t="shared" si="42"/>
        <v>390218.31472677278</v>
      </c>
      <c r="BH52" s="65">
        <f t="shared" si="42"/>
        <v>394120.49787404051</v>
      </c>
      <c r="BI52" s="65">
        <f t="shared" si="42"/>
        <v>398061.70285278093</v>
      </c>
      <c r="BJ52" s="65">
        <f t="shared" si="42"/>
        <v>402042.31988130877</v>
      </c>
      <c r="BK52" s="65">
        <f t="shared" si="42"/>
        <v>406062.74308012187</v>
      </c>
      <c r="BL52" s="65">
        <f t="shared" si="42"/>
        <v>410123.37051092309</v>
      </c>
      <c r="BM52" s="65">
        <f t="shared" si="42"/>
        <v>414224.60421603231</v>
      </c>
      <c r="BN52" s="65">
        <f t="shared" si="42"/>
        <v>418366.85025819263</v>
      </c>
      <c r="BO52" s="65">
        <f t="shared" si="42"/>
        <v>422550.51876077458</v>
      </c>
      <c r="BP52" s="65">
        <f t="shared" si="42"/>
        <v>426776.02394838235</v>
      </c>
      <c r="BQ52" s="65">
        <f t="shared" si="42"/>
        <v>431043.7841878662</v>
      </c>
      <c r="BR52" s="65">
        <f t="shared" si="42"/>
        <v>435354.22202974488</v>
      </c>
      <c r="BS52" s="65">
        <f t="shared" si="42"/>
        <v>439707.76425004232</v>
      </c>
      <c r="BT52" s="65">
        <f t="shared" si="42"/>
        <v>444104.84189254272</v>
      </c>
      <c r="BU52" s="65">
        <f t="shared" si="42"/>
        <v>448545.89031146816</v>
      </c>
      <c r="BV52" s="65">
        <f t="shared" si="42"/>
        <v>453031.34921458282</v>
      </c>
      <c r="BW52" s="65">
        <f t="shared" si="42"/>
        <v>457561.66270672868</v>
      </c>
      <c r="BX52" s="65">
        <f t="shared" si="42"/>
        <v>462137.27933379594</v>
      </c>
      <c r="BY52" s="65">
        <f t="shared" si="42"/>
        <v>466758.65212713392</v>
      </c>
      <c r="BZ52" s="65">
        <f t="shared" si="42"/>
        <v>471426.23864840524</v>
      </c>
      <c r="CA52" s="65">
        <f t="shared" si="42"/>
        <v>476140.50103488931</v>
      </c>
      <c r="CB52" s="65">
        <f t="shared" si="42"/>
        <v>480901.9060452382</v>
      </c>
      <c r="CC52" s="65">
        <f t="shared" si="42"/>
        <v>485710.92510569061</v>
      </c>
      <c r="CD52" s="65">
        <f t="shared" si="42"/>
        <v>490568.03435674752</v>
      </c>
      <c r="CE52" s="65">
        <f t="shared" si="42"/>
        <v>495473.71470031497</v>
      </c>
      <c r="CF52" s="65">
        <f t="shared" ref="CF52:CH52" si="43">CE52*(1+$E$6)</f>
        <v>500428.45184731815</v>
      </c>
      <c r="CG52" s="65">
        <f t="shared" si="43"/>
        <v>505432.73636579135</v>
      </c>
      <c r="CH52" s="65">
        <f t="shared" si="43"/>
        <v>510487.06372944929</v>
      </c>
    </row>
    <row r="53" spans="1:86" x14ac:dyDescent="0.25">
      <c r="A53" s="1"/>
      <c r="B53" s="6"/>
      <c r="C53" s="23"/>
      <c r="D53" s="23"/>
      <c r="E53" s="23"/>
      <c r="F53" s="23"/>
      <c r="G53" s="23"/>
      <c r="H53" s="23"/>
      <c r="I53" s="13"/>
      <c r="J53" s="1"/>
      <c r="K53" s="1"/>
      <c r="L53" s="1"/>
      <c r="M53" s="1"/>
      <c r="N53" s="1"/>
      <c r="O53" s="1"/>
      <c r="P53" s="1"/>
      <c r="Q53" s="1"/>
    </row>
    <row r="54" spans="1:86" x14ac:dyDescent="0.25">
      <c r="A54" s="1"/>
      <c r="B54" s="10" t="s">
        <v>27</v>
      </c>
      <c r="C54" s="26">
        <f>C51+C42+C45-C48</f>
        <v>82622</v>
      </c>
      <c r="D54" s="26">
        <f>D51+D42+D45-D48</f>
        <v>47166</v>
      </c>
      <c r="E54" s="26">
        <f>E51+E42+E45-E48</f>
        <v>77040</v>
      </c>
      <c r="F54" s="26">
        <f>F51+F42+F45-F48</f>
        <v>74025</v>
      </c>
      <c r="G54" s="26">
        <f>G51+G42+G45-G48</f>
        <v>128586</v>
      </c>
      <c r="H54" s="26">
        <f>H51+H42+H45-H48</f>
        <v>137933</v>
      </c>
      <c r="I54" s="80">
        <f>I51+I42+I45-I48</f>
        <v>140126.26308201358</v>
      </c>
      <c r="J54" s="26">
        <f>J51+J42+J45-J48</f>
        <v>153235.962964657</v>
      </c>
      <c r="K54" s="26">
        <f>K51+K42+K45-K48</f>
        <v>159553.15341040798</v>
      </c>
      <c r="L54" s="26">
        <f>L51+L42+L45-L48</f>
        <v>173055.70614769968</v>
      </c>
      <c r="M54" s="26">
        <f>M51+M42+M45-M48</f>
        <v>190364.97658350883</v>
      </c>
      <c r="N54" s="26">
        <f>N51+N42+N45-N48</f>
        <v>218069.18310684228</v>
      </c>
      <c r="O54" s="26">
        <f>O51+O42+O45-O48</f>
        <v>240332.94182659657</v>
      </c>
      <c r="P54" s="26">
        <f>P51+P42+P45-P48</f>
        <v>268558.7330696602</v>
      </c>
      <c r="Q54" s="26">
        <f>Q51+Q42+Q45-Q48</f>
        <v>301064.16410356405</v>
      </c>
      <c r="R54" s="26">
        <f>R51+R42+R45-R48</f>
        <v>337975.92322630511</v>
      </c>
    </row>
    <row r="55" spans="1:86" x14ac:dyDescent="0.25">
      <c r="A55" s="1"/>
      <c r="B55" s="27" t="s">
        <v>28</v>
      </c>
      <c r="C55" s="1"/>
      <c r="D55" s="1"/>
      <c r="E55" s="1"/>
      <c r="F55" s="1"/>
      <c r="G55" s="1"/>
      <c r="H55" s="1"/>
      <c r="I55" s="71">
        <f>I54/((1+$E$5)^I9)</f>
        <v>126476.05762756063</v>
      </c>
      <c r="J55" s="68">
        <f>J54/((1+$E$5)^J9)</f>
        <v>124835.54477654508</v>
      </c>
      <c r="K55" s="68">
        <f>K54/((1+$E$5)^K9)</f>
        <v>117319.91251826109</v>
      </c>
      <c r="L55" s="68">
        <f>L54/((1+$E$5)^L9)</f>
        <v>114852.65571473043</v>
      </c>
      <c r="M55" s="68">
        <f>M54/((1+$E$5)^M9)</f>
        <v>114033.10429261519</v>
      </c>
      <c r="N55" s="68">
        <f>N54/((1+$E$5)^N9)</f>
        <v>117903.5749732643</v>
      </c>
      <c r="O55" s="68">
        <f>O54/((1+$E$5)^O9)</f>
        <v>117282.91698354011</v>
      </c>
      <c r="P55" s="68">
        <f>P54/((1+$E$5)^P9)</f>
        <v>118290.40407555451</v>
      </c>
      <c r="Q55" s="68">
        <f>Q54/((1+$E$5)^Q9)</f>
        <v>119690.05858288601</v>
      </c>
      <c r="R55" s="68">
        <f>R54/((1+$E$5)^R9)</f>
        <v>121275.63517411817</v>
      </c>
    </row>
    <row r="56" spans="1:86" x14ac:dyDescent="0.25">
      <c r="A56" s="1"/>
      <c r="B56" s="28"/>
      <c r="C56" s="28"/>
      <c r="D56" s="28"/>
      <c r="E56" s="28"/>
      <c r="F56" s="28"/>
      <c r="G56" s="28"/>
      <c r="H56" s="28"/>
      <c r="I56" s="16"/>
      <c r="J56" s="1"/>
      <c r="K56" s="1"/>
      <c r="L56" s="1"/>
      <c r="M56" s="1"/>
      <c r="N56" s="1"/>
      <c r="O56" s="1"/>
      <c r="P56" s="1"/>
      <c r="Q56" s="1"/>
      <c r="R56" s="1"/>
    </row>
    <row r="57" spans="1:86" x14ac:dyDescent="0.25">
      <c r="A57" s="1"/>
      <c r="B57" s="1" t="s">
        <v>29</v>
      </c>
      <c r="C57" s="29">
        <f>(R54*(1+$E$6))/($E$5-$E$6)</f>
        <v>3485811.0783081157</v>
      </c>
      <c r="D57" s="1"/>
      <c r="E57" s="1" t="s">
        <v>30</v>
      </c>
      <c r="F57" s="19">
        <f>NPV($E$5,I52:CH52)</f>
        <v>1854555.7447856257</v>
      </c>
      <c r="G57" s="1"/>
      <c r="H57" s="1"/>
      <c r="I57" s="16"/>
      <c r="J57" s="1"/>
      <c r="K57" s="1"/>
      <c r="L57" s="1"/>
      <c r="M57" s="1"/>
      <c r="N57" s="1"/>
      <c r="O57" s="1"/>
      <c r="P57" s="1"/>
      <c r="Q57" s="1"/>
    </row>
    <row r="58" spans="1:86" x14ac:dyDescent="0.25">
      <c r="A58" s="1"/>
      <c r="B58" s="3" t="s">
        <v>31</v>
      </c>
      <c r="C58" s="30">
        <f>C57/((1+$E$5)^$R$9)</f>
        <v>1250810.8523923748</v>
      </c>
      <c r="D58" s="17"/>
      <c r="E58" s="3"/>
      <c r="F58" s="3"/>
      <c r="G58" s="3"/>
      <c r="H58" s="17"/>
      <c r="I58" s="13"/>
      <c r="J58" s="1"/>
      <c r="L58" s="55" t="s">
        <v>52</v>
      </c>
      <c r="M58" s="56"/>
      <c r="N58" s="56"/>
      <c r="O58" s="56"/>
      <c r="P58" s="56"/>
      <c r="Q58" s="55"/>
    </row>
    <row r="59" spans="1:86" x14ac:dyDescent="0.25">
      <c r="A59" s="1"/>
      <c r="B59" s="6" t="s">
        <v>32</v>
      </c>
      <c r="C59" s="6"/>
      <c r="D59" s="1"/>
      <c r="E59" s="6"/>
      <c r="F59" s="6"/>
      <c r="G59" s="31" t="s">
        <v>33</v>
      </c>
      <c r="H59" s="31" t="s">
        <v>30</v>
      </c>
      <c r="I59" s="16"/>
      <c r="J59" s="1"/>
      <c r="K59" s="55"/>
      <c r="L59" s="57">
        <f>D65</f>
        <v>136.40331992065012</v>
      </c>
      <c r="M59" s="58">
        <v>-0.02</v>
      </c>
      <c r="N59" s="58">
        <v>-1.4999999999999999E-2</v>
      </c>
      <c r="O59" s="58">
        <v>0.01</v>
      </c>
      <c r="P59" s="58">
        <v>1.4999999999999999E-2</v>
      </c>
      <c r="Q59" s="58">
        <v>0.02</v>
      </c>
    </row>
    <row r="60" spans="1:86" x14ac:dyDescent="0.25">
      <c r="A60" s="1"/>
      <c r="B60" s="32" t="s">
        <v>34</v>
      </c>
      <c r="C60" s="1"/>
      <c r="D60" s="25">
        <f>24687+31185</f>
        <v>55872</v>
      </c>
      <c r="E60" s="1"/>
      <c r="F60" s="1"/>
      <c r="G60" s="29">
        <f>C58+SUM(I55:R55)</f>
        <v>2442770.7171114506</v>
      </c>
      <c r="H60" s="19">
        <f>F57</f>
        <v>1854555.7447856257</v>
      </c>
      <c r="I60" s="16"/>
      <c r="J60" s="1"/>
      <c r="K60" s="55"/>
      <c r="L60" s="59">
        <f>L61-2%</f>
        <v>6.7927189623899417E-2</v>
      </c>
      <c r="M60" s="60">
        <f t="dataTable" ref="M60:Q64" dt2D="1" dtr="1" r1="E6" r2="E5"/>
        <v>190.68672002627005</v>
      </c>
      <c r="N60" s="60">
        <v>197.77232304410774</v>
      </c>
      <c r="O60" s="60">
        <v>250.61417211690224</v>
      </c>
      <c r="P60" s="60">
        <v>266.7320497681377</v>
      </c>
      <c r="Q60" s="60">
        <v>285.88728954828076</v>
      </c>
    </row>
    <row r="61" spans="1:86" x14ac:dyDescent="0.25">
      <c r="A61" s="1"/>
      <c r="B61" s="33" t="s">
        <v>35</v>
      </c>
      <c r="C61" s="3"/>
      <c r="D61" s="86">
        <v>42945</v>
      </c>
      <c r="E61" s="3"/>
      <c r="F61" s="3"/>
      <c r="G61" s="3"/>
      <c r="H61" s="3"/>
      <c r="I61" s="16"/>
      <c r="J61" s="1"/>
      <c r="K61" s="56"/>
      <c r="L61" s="59">
        <f>L62-2%</f>
        <v>8.7927189623899421E-2</v>
      </c>
      <c r="M61" s="60">
        <v>147.40821115875352</v>
      </c>
      <c r="N61" s="61">
        <v>151.36953712252694</v>
      </c>
      <c r="O61" s="61">
        <v>178.63790734914079</v>
      </c>
      <c r="P61" s="61">
        <v>186.25980438257687</v>
      </c>
      <c r="Q61" s="60">
        <v>194.94972892416496</v>
      </c>
    </row>
    <row r="62" spans="1:86" x14ac:dyDescent="0.25">
      <c r="A62" s="1"/>
      <c r="B62" s="6" t="s">
        <v>36</v>
      </c>
      <c r="C62" s="6"/>
      <c r="D62" s="6"/>
      <c r="E62" s="6"/>
      <c r="F62" s="6"/>
      <c r="G62" s="34">
        <f>(G60+D60-D61)</f>
        <v>2455697.7171114506</v>
      </c>
      <c r="H62" s="35">
        <f>(H60+D60-D61)</f>
        <v>1867482.7447856257</v>
      </c>
      <c r="I62" s="16"/>
      <c r="J62"/>
      <c r="K62" s="55" t="s">
        <v>1</v>
      </c>
      <c r="L62" s="62">
        <v>0.10792718962389942</v>
      </c>
      <c r="M62" s="60">
        <v>118.50694267486796</v>
      </c>
      <c r="N62" s="61">
        <v>120.8872342501638</v>
      </c>
      <c r="O62" s="63">
        <v>136.40331992065012</v>
      </c>
      <c r="P62" s="61">
        <v>140.49409758019766</v>
      </c>
      <c r="Q62" s="60">
        <v>145.04003904716791</v>
      </c>
    </row>
    <row r="63" spans="1:86" x14ac:dyDescent="0.25">
      <c r="A63" s="1"/>
      <c r="B63" s="3" t="s">
        <v>37</v>
      </c>
      <c r="C63" s="3"/>
      <c r="D63" s="39">
        <f>(15847050)/1000</f>
        <v>15847.05</v>
      </c>
      <c r="E63" s="3"/>
      <c r="F63" s="3"/>
      <c r="G63" s="3"/>
      <c r="H63" s="3"/>
      <c r="I63" s="16"/>
      <c r="J63" s="1"/>
      <c r="K63" s="55"/>
      <c r="L63" s="64">
        <f>L62+2%</f>
        <v>0.12792718962389943</v>
      </c>
      <c r="M63" s="60">
        <v>98.068706480023877</v>
      </c>
      <c r="N63" s="61">
        <v>99.57691538454462</v>
      </c>
      <c r="O63" s="61">
        <v>109.02990244389589</v>
      </c>
      <c r="P63" s="61">
        <v>111.41984486345805</v>
      </c>
      <c r="Q63" s="60">
        <v>114.0291928332687</v>
      </c>
    </row>
    <row r="64" spans="1:86" x14ac:dyDescent="0.25">
      <c r="A64" s="1"/>
      <c r="B64" s="18" t="s">
        <v>38</v>
      </c>
      <c r="C64" s="18"/>
      <c r="D64" s="18">
        <f>D63*$J$5</f>
        <v>2750572.4685</v>
      </c>
      <c r="E64" s="18"/>
      <c r="F64" s="18"/>
      <c r="G64" s="18"/>
      <c r="H64" s="36"/>
      <c r="I64" s="1"/>
      <c r="J64" s="1"/>
      <c r="K64" s="55"/>
      <c r="L64" s="64">
        <f>L63+2%</f>
        <v>0.14792718962389942</v>
      </c>
      <c r="M64" s="60">
        <v>82.990001792498845</v>
      </c>
      <c r="N64" s="60">
        <v>83.985209437297542</v>
      </c>
      <c r="O64" s="60">
        <v>90.042164864789882</v>
      </c>
      <c r="P64" s="60">
        <v>91.526324749600462</v>
      </c>
      <c r="Q64" s="60">
        <v>93.126064832752988</v>
      </c>
    </row>
    <row r="65" spans="1:10" x14ac:dyDescent="0.25">
      <c r="A65" s="1"/>
      <c r="B65" s="6" t="s">
        <v>39</v>
      </c>
      <c r="C65" s="6" t="s">
        <v>40</v>
      </c>
      <c r="D65" s="37">
        <f>(G65+H65)/2</f>
        <v>136.40331992065012</v>
      </c>
      <c r="F65" s="6"/>
      <c r="G65" s="37">
        <f>G62/D63</f>
        <v>154.96245150431474</v>
      </c>
      <c r="H65" s="37">
        <f>H62/D63</f>
        <v>117.84418833698548</v>
      </c>
      <c r="I65" s="16"/>
      <c r="J65" s="1"/>
    </row>
    <row r="66" spans="1:10" x14ac:dyDescent="0.25">
      <c r="A66"/>
      <c r="C66" s="1"/>
      <c r="D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G8" sqref="G8"/>
    </sheetView>
  </sheetViews>
  <sheetFormatPr defaultRowHeight="15" x14ac:dyDescent="0.25"/>
  <cols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f>'AAPL DCF'!I39</f>
        <v>0.16009999999999999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1.23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'AAPL DCF'!D64</f>
        <v>2750572.4685</v>
      </c>
      <c r="D12" s="2"/>
      <c r="E12" s="2" t="s">
        <v>35</v>
      </c>
      <c r="F12" s="2"/>
      <c r="G12" s="25">
        <f>'AAPL DCF'!D61</f>
        <v>42945</v>
      </c>
      <c r="H12" s="2"/>
      <c r="I12" s="2" t="s">
        <v>47</v>
      </c>
      <c r="J12" s="2"/>
      <c r="K12" s="25">
        <f>G12+C12</f>
        <v>2793517.4685</v>
      </c>
      <c r="L12" s="2"/>
    </row>
    <row r="13" spans="1:14" x14ac:dyDescent="0.25">
      <c r="A13" s="2" t="s">
        <v>48</v>
      </c>
      <c r="B13" s="2"/>
      <c r="C13" s="47">
        <f>C12/K12</f>
        <v>0.98462690837474531</v>
      </c>
      <c r="D13" s="2"/>
      <c r="E13" s="2" t="s">
        <v>49</v>
      </c>
      <c r="F13" s="2"/>
      <c r="G13" s="48">
        <f>G12/K12</f>
        <v>1.5373091625254678E-2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0.10935</v>
      </c>
      <c r="D14" s="2"/>
      <c r="E14" s="2" t="s">
        <v>51</v>
      </c>
      <c r="F14" s="2"/>
      <c r="G14" s="50">
        <v>0.02</v>
      </c>
      <c r="H14" s="2"/>
      <c r="I14" s="51" t="s">
        <v>1</v>
      </c>
      <c r="J14" s="52"/>
      <c r="K14" s="78">
        <f>C13*C14+G14*G13*(1-D6)</f>
        <v>0.10792718962389942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2023-05-06T07:12:50Z</dcterms:modified>
</cp:coreProperties>
</file>