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E73F9527-249C-4F13-9A17-3430BE80A0E3}" xr6:coauthVersionLast="47" xr6:coauthVersionMax="47" xr10:uidLastSave="{00000000-0000-0000-0000-000000000000}"/>
  <bookViews>
    <workbookView xWindow="-120" yWindow="-120" windowWidth="20730" windowHeight="11040" xr2:uid="{E97059E9-2910-4C55-81B0-5F5723A83B09}"/>
  </bookViews>
  <sheets>
    <sheet name="CSIQ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1" l="1"/>
  <c r="L74" i="1" s="1"/>
  <c r="L71" i="1"/>
  <c r="L70" i="1"/>
  <c r="F61" i="1"/>
  <c r="G61" i="1"/>
  <c r="H61" i="1"/>
  <c r="M20" i="1"/>
  <c r="N20" i="1" s="1"/>
  <c r="O20" i="1" s="1"/>
  <c r="P20" i="1" s="1"/>
  <c r="Q20" i="1" s="1"/>
  <c r="R20" i="1" s="1"/>
  <c r="H16" i="1"/>
  <c r="D34" i="1"/>
  <c r="E34" i="1"/>
  <c r="F34" i="1"/>
  <c r="G34" i="1"/>
  <c r="H34" i="1"/>
  <c r="C34" i="1"/>
  <c r="D29" i="1"/>
  <c r="E29" i="1"/>
  <c r="F29" i="1"/>
  <c r="G29" i="1"/>
  <c r="H29" i="1"/>
  <c r="C29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36" i="1" s="1"/>
  <c r="C14" i="2"/>
  <c r="D72" i="1"/>
  <c r="D73" i="1" s="1"/>
  <c r="G12" i="2" l="1"/>
  <c r="C12" i="2"/>
  <c r="D6" i="2"/>
  <c r="K12" i="2" l="1"/>
  <c r="D69" i="1"/>
  <c r="H36" i="1"/>
  <c r="I11" i="1"/>
  <c r="C37" i="1"/>
  <c r="D36" i="1"/>
  <c r="D37" i="1" s="1"/>
  <c r="E36" i="1"/>
  <c r="F36" i="1"/>
  <c r="F37" i="1" s="1"/>
  <c r="G36" i="1"/>
  <c r="G37" i="1" s="1"/>
  <c r="G57" i="1"/>
  <c r="F57" i="1"/>
  <c r="E57" i="1"/>
  <c r="D57" i="1"/>
  <c r="C57" i="1"/>
  <c r="H57" i="1"/>
  <c r="H54" i="1"/>
  <c r="G54" i="1"/>
  <c r="F54" i="1"/>
  <c r="E54" i="1"/>
  <c r="D54" i="1"/>
  <c r="C54" i="1"/>
  <c r="H51" i="1"/>
  <c r="G51" i="1"/>
  <c r="F51" i="1"/>
  <c r="E51" i="1"/>
  <c r="D51" i="1"/>
  <c r="C51" i="1"/>
  <c r="G16" i="1"/>
  <c r="G17" i="1" s="1"/>
  <c r="F16" i="1"/>
  <c r="E16" i="1"/>
  <c r="E17" i="1" s="1"/>
  <c r="D16" i="1"/>
  <c r="C16" i="1"/>
  <c r="C39" i="1" s="1"/>
  <c r="C41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F39" i="1" l="1"/>
  <c r="I34" i="1"/>
  <c r="I50" i="1"/>
  <c r="I22" i="1"/>
  <c r="I19" i="1"/>
  <c r="I56" i="1"/>
  <c r="I25" i="1"/>
  <c r="I28" i="1"/>
  <c r="C17" i="1"/>
  <c r="J11" i="1"/>
  <c r="G39" i="1"/>
  <c r="G41" i="1" s="1"/>
  <c r="E39" i="1"/>
  <c r="E43" i="1" s="1"/>
  <c r="C13" i="2"/>
  <c r="G13" i="2"/>
  <c r="F43" i="1"/>
  <c r="F41" i="1"/>
  <c r="D39" i="1"/>
  <c r="D43" i="1" s="1"/>
  <c r="H39" i="1"/>
  <c r="E37" i="1"/>
  <c r="H37" i="1"/>
  <c r="I53" i="1"/>
  <c r="F17" i="1"/>
  <c r="D17" i="1"/>
  <c r="H17" i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I16" i="1" l="1"/>
  <c r="I14" i="1" s="1"/>
  <c r="I36" i="1"/>
  <c r="J16" i="1"/>
  <c r="J34" i="1"/>
  <c r="J25" i="1"/>
  <c r="J28" i="1"/>
  <c r="J19" i="1"/>
  <c r="J22" i="1"/>
  <c r="H41" i="1"/>
  <c r="H43" i="1"/>
  <c r="H59" i="1" s="1"/>
  <c r="H63" i="1" s="1"/>
  <c r="D41" i="1"/>
  <c r="D61" i="1" s="1"/>
  <c r="G43" i="1"/>
  <c r="G47" i="1" s="1"/>
  <c r="K11" i="1"/>
  <c r="E41" i="1"/>
  <c r="E61" i="1" s="1"/>
  <c r="K14" i="2"/>
  <c r="E5" i="1" s="1"/>
  <c r="C43" i="1"/>
  <c r="C59" i="1" s="1"/>
  <c r="C63" i="1" s="1"/>
  <c r="C61" i="1"/>
  <c r="E47" i="1"/>
  <c r="E44" i="1"/>
  <c r="E59" i="1"/>
  <c r="E63" i="1" s="1"/>
  <c r="F59" i="1"/>
  <c r="F63" i="1" s="1"/>
  <c r="F47" i="1"/>
  <c r="F44" i="1"/>
  <c r="D59" i="1"/>
  <c r="D63" i="1" s="1"/>
  <c r="D47" i="1"/>
  <c r="D44" i="1"/>
  <c r="J56" i="1"/>
  <c r="J53" i="1"/>
  <c r="H44" i="1" l="1"/>
  <c r="I39" i="1"/>
  <c r="I37" i="1"/>
  <c r="L11" i="1"/>
  <c r="L34" i="1" s="1"/>
  <c r="K34" i="1"/>
  <c r="L25" i="1"/>
  <c r="K28" i="1"/>
  <c r="K19" i="1"/>
  <c r="K25" i="1"/>
  <c r="K22" i="1"/>
  <c r="J36" i="1"/>
  <c r="J37" i="1" s="1"/>
  <c r="H47" i="1"/>
  <c r="C44" i="1"/>
  <c r="G44" i="1"/>
  <c r="G59" i="1"/>
  <c r="G63" i="1" s="1"/>
  <c r="C47" i="1"/>
  <c r="J50" i="1"/>
  <c r="K56" i="1"/>
  <c r="K53" i="1"/>
  <c r="K16" i="1"/>
  <c r="J14" i="1"/>
  <c r="I41" i="1" l="1"/>
  <c r="I43" i="1"/>
  <c r="M11" i="1"/>
  <c r="M34" i="1" s="1"/>
  <c r="L19" i="1"/>
  <c r="L22" i="1"/>
  <c r="L28" i="1"/>
  <c r="K36" i="1"/>
  <c r="K37" i="1" s="1"/>
  <c r="J39" i="1"/>
  <c r="L56" i="1"/>
  <c r="L53" i="1"/>
  <c r="L16" i="1"/>
  <c r="K50" i="1"/>
  <c r="K14" i="1"/>
  <c r="I44" i="1" l="1"/>
  <c r="I46" i="1"/>
  <c r="I61" i="1" s="1"/>
  <c r="N11" i="1"/>
  <c r="N34" i="1" s="1"/>
  <c r="M22" i="1"/>
  <c r="M25" i="1"/>
  <c r="L36" i="1"/>
  <c r="L37" i="1" s="1"/>
  <c r="M50" i="1"/>
  <c r="M19" i="1"/>
  <c r="M28" i="1"/>
  <c r="K39" i="1"/>
  <c r="K41" i="1" s="1"/>
  <c r="L14" i="1"/>
  <c r="J41" i="1"/>
  <c r="J43" i="1"/>
  <c r="L50" i="1"/>
  <c r="M56" i="1"/>
  <c r="M53" i="1"/>
  <c r="M16" i="1"/>
  <c r="I59" i="1" l="1"/>
  <c r="I63" i="1" s="1"/>
  <c r="I64" i="1" s="1"/>
  <c r="N25" i="1"/>
  <c r="N19" i="1"/>
  <c r="O11" i="1"/>
  <c r="O34" i="1" s="1"/>
  <c r="N22" i="1"/>
  <c r="N28" i="1"/>
  <c r="M36" i="1"/>
  <c r="M37" i="1" s="1"/>
  <c r="L39" i="1"/>
  <c r="L43" i="1" s="1"/>
  <c r="K43" i="1"/>
  <c r="K46" i="1" s="1"/>
  <c r="K59" i="1" s="1"/>
  <c r="O28" i="1"/>
  <c r="J44" i="1"/>
  <c r="J46" i="1"/>
  <c r="J59" i="1" s="1"/>
  <c r="N56" i="1"/>
  <c r="N53" i="1"/>
  <c r="N16" i="1"/>
  <c r="N50" i="1"/>
  <c r="M14" i="1"/>
  <c r="K44" i="1" l="1"/>
  <c r="P11" i="1"/>
  <c r="P34" i="1" s="1"/>
  <c r="L41" i="1"/>
  <c r="O19" i="1"/>
  <c r="O50" i="1"/>
  <c r="O22" i="1"/>
  <c r="O25" i="1"/>
  <c r="N36" i="1"/>
  <c r="N37" i="1" s="1"/>
  <c r="M39" i="1"/>
  <c r="M41" i="1" s="1"/>
  <c r="K63" i="1"/>
  <c r="K64" i="1" s="1"/>
  <c r="J63" i="1"/>
  <c r="J64" i="1" s="1"/>
  <c r="L44" i="1"/>
  <c r="L46" i="1"/>
  <c r="L59" i="1" s="1"/>
  <c r="P25" i="1"/>
  <c r="O56" i="1"/>
  <c r="O53" i="1"/>
  <c r="O16" i="1"/>
  <c r="N14" i="1"/>
  <c r="P19" i="1" l="1"/>
  <c r="M43" i="1"/>
  <c r="M46" i="1" s="1"/>
  <c r="M59" i="1" s="1"/>
  <c r="Q11" i="1"/>
  <c r="Q34" i="1" s="1"/>
  <c r="P22" i="1"/>
  <c r="P28" i="1"/>
  <c r="O36" i="1"/>
  <c r="O37" i="1" s="1"/>
  <c r="N39" i="1"/>
  <c r="L63" i="1"/>
  <c r="L64" i="1" s="1"/>
  <c r="Q28" i="1"/>
  <c r="M44" i="1"/>
  <c r="P56" i="1"/>
  <c r="P53" i="1"/>
  <c r="P16" i="1"/>
  <c r="P50" i="1"/>
  <c r="O14" i="1"/>
  <c r="P36" i="1" l="1"/>
  <c r="P37" i="1" s="1"/>
  <c r="Q19" i="1"/>
  <c r="R11" i="1"/>
  <c r="R34" i="1" s="1"/>
  <c r="Q22" i="1"/>
  <c r="Q25" i="1"/>
  <c r="O39" i="1"/>
  <c r="O41" i="1" s="1"/>
  <c r="N41" i="1"/>
  <c r="N43" i="1"/>
  <c r="M63" i="1"/>
  <c r="M64" i="1" s="1"/>
  <c r="O43" i="1"/>
  <c r="O44" i="1" s="1"/>
  <c r="P14" i="1"/>
  <c r="Q56" i="1"/>
  <c r="Q53" i="1"/>
  <c r="Q16" i="1"/>
  <c r="Q50" i="1"/>
  <c r="R25" i="1" l="1"/>
  <c r="P39" i="1"/>
  <c r="P43" i="1" s="1"/>
  <c r="R19" i="1"/>
  <c r="R22" i="1"/>
  <c r="R28" i="1"/>
  <c r="Q36" i="1"/>
  <c r="Q37" i="1" s="1"/>
  <c r="N44" i="1"/>
  <c r="N46" i="1"/>
  <c r="N59" i="1" s="1"/>
  <c r="N63" i="1" s="1"/>
  <c r="N64" i="1" s="1"/>
  <c r="O46" i="1"/>
  <c r="O59" i="1" s="1"/>
  <c r="Q14" i="1"/>
  <c r="R56" i="1"/>
  <c r="R53" i="1"/>
  <c r="R16" i="1"/>
  <c r="R50" i="1"/>
  <c r="Q39" i="1" l="1"/>
  <c r="Q41" i="1" s="1"/>
  <c r="P41" i="1"/>
  <c r="R36" i="1"/>
  <c r="R37" i="1" s="1"/>
  <c r="O63" i="1"/>
  <c r="O64" i="1" s="1"/>
  <c r="R39" i="1"/>
  <c r="R43" i="1" s="1"/>
  <c r="R44" i="1" s="1"/>
  <c r="P44" i="1"/>
  <c r="P46" i="1"/>
  <c r="P59" i="1" s="1"/>
  <c r="R14" i="1"/>
  <c r="Q43" i="1" l="1"/>
  <c r="Q44" i="1" s="1"/>
  <c r="R41" i="1"/>
  <c r="P63" i="1"/>
  <c r="P64" i="1" s="1"/>
  <c r="R46" i="1"/>
  <c r="R59" i="1" s="1"/>
  <c r="Q46" i="1" l="1"/>
  <c r="Q59" i="1" s="1"/>
  <c r="Q63" i="1" s="1"/>
  <c r="Q64" i="1" s="1"/>
  <c r="R63" i="1"/>
  <c r="C66" i="1" s="1"/>
  <c r="C67" i="1" s="1"/>
  <c r="R64" i="1" l="1"/>
  <c r="G69" i="1" s="1"/>
  <c r="G71" i="1" s="1"/>
  <c r="G74" i="1" s="1"/>
  <c r="N61" i="1" l="1"/>
  <c r="Q61" i="1"/>
  <c r="P61" i="1"/>
  <c r="L61" i="1"/>
  <c r="K61" i="1"/>
  <c r="J61" i="1"/>
  <c r="M61" i="1"/>
  <c r="R61" i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O61" i="1"/>
  <c r="F66" i="1" l="1"/>
  <c r="H69" i="1" s="1"/>
  <c r="H71" i="1" s="1"/>
  <c r="H74" i="1" s="1"/>
  <c r="E74" i="1" s="1"/>
  <c r="J6" i="1" l="1"/>
  <c r="N5" i="1" s="1"/>
  <c r="L69" i="1"/>
</calcChain>
</file>

<file path=xl/sharedStrings.xml><?xml version="1.0" encoding="utf-8"?>
<sst xmlns="http://schemas.openxmlformats.org/spreadsheetml/2006/main" count="74" uniqueCount="60">
  <si>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</si>
  <si>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</si>
  <si>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</si>
  <si>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</si>
  <si>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</si>
  <si>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</si>
  <si>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</si>
  <si>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</si>
  <si>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</si>
  <si>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</si>
  <si>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</si>
  <si>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</si>
  <si>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</si>
  <si>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S&amp;M</t>
  </si>
  <si>
    <t>G&amp;A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</si>
  <si>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</si>
  <si>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</si>
  <si>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</si>
  <si>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</si>
  <si>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</si>
  <si>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</si>
  <si>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</si>
  <si>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</si>
  <si>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</si>
  <si>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</si>
  <si>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</si>
  <si>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</si>
  <si>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</si>
  <si>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</si>
  <si>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</si>
  <si>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</si>
  <si>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</si>
  <si>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</si>
  <si>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</si>
  <si>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</si>
  <si>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</si>
  <si>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</si>
  <si>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</si>
  <si>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</si>
  <si>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</si>
  <si>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</si>
  <si>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</si>
  <si>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</si>
  <si>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Interest exp</t>
  </si>
  <si>
    <t>Interest income</t>
  </si>
  <si>
    <t>Other op</t>
  </si>
  <si>
    <t>Canadian Solar Inc.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</si>
  <si>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</si>
  <si>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</si>
  <si>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</si>
  <si>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</si>
  <si>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</si>
  <si>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</si>
  <si>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</si>
  <si>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</si>
  <si>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</si>
  <si>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</si>
  <si>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Total other</t>
  </si>
  <si>
    <t>NCI</t>
  </si>
  <si>
    <t xml:space="preserve">                                             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</si>
</sst>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7" xfId="0" applyFill="1" applyBorder="1"/>
    <xf numFmtId="0" fontId="3" fillId="2" borderId="9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0" fontId="0" fillId="2" borderId="1" xfId="0" applyFill="1" applyBorder="1"/>
    <xf numFmtId="3" fontId="3" fillId="2" borderId="4" xfId="0" applyNumberFormat="1" applyFont="1" applyFill="1" applyBorder="1"/>
    <xf numFmtId="164" fontId="8" fillId="2" borderId="4" xfId="1" applyNumberFormat="1" applyFont="1" applyFill="1" applyBorder="1"/>
    <xf numFmtId="164" fontId="7" fillId="2" borderId="0" xfId="1" applyNumberFormat="1" applyFont="1" applyFill="1" applyBorder="1"/>
    <xf numFmtId="3" fontId="0" fillId="0" borderId="0" xfId="0" applyNumberFormat="1"/>
    <xf numFmtId="0" fontId="3" fillId="2" borderId="0" xfId="1" applyNumberFormat="1" applyFont="1" applyFill="1" applyBorder="1"/>
    <xf numFmtId="164" fontId="8" fillId="2" borderId="0" xfId="1" applyNumberFormat="1" applyFont="1" applyFill="1" applyBorder="1"/>
    <xf numFmtId="10" fontId="8" fillId="2" borderId="4" xfId="0" applyNumberFormat="1" applyFont="1" applyFill="1" applyBorder="1"/>
    <xf numFmtId="0" fontId="3" fillId="2" borderId="4" xfId="1" applyNumberFormat="1" applyFont="1" applyFill="1" applyBorder="1"/>
    <xf numFmtId="164" fontId="9" fillId="2" borderId="0" xfId="1" applyNumberFormat="1" applyFont="1" applyFill="1" applyBorder="1"/>
    <xf numFmtId="3" fontId="3" fillId="0" borderId="0" xfId="0" applyNumberFormat="1" applyFont="1"/>
    <xf numFmtId="164" fontId="3" fillId="2" borderId="4" xfId="0" applyNumberFormat="1" applyFont="1" applyFill="1" applyBorder="1"/>
    <xf numFmtId="3" fontId="0" fillId="0" borderId="1" xfId="0" applyNumberFormat="1" applyBorder="1"/>
    <xf numFmtId="0" fontId="0" fillId="6" borderId="0" xfId="0" applyFill="1"/>
    <xf numFmtId="3" fontId="3" fillId="6" borderId="0" xfId="0" applyNumberFormat="1" applyFont="1" applyFill="1"/>
    <xf numFmtId="0" fontId="10" fillId="2" borderId="0" xfId="0" applyFont="1" applyFill="1"/>
    <xf numFmtId="0" fontId="0" fillId="2" borderId="6" xfId="0" applyFill="1" applyBorder="1"/>
    <xf numFmtId="0" fontId="0" fillId="7" borderId="0" xfId="0" applyFill="1"/>
    <xf numFmtId="164" fontId="0" fillId="8" borderId="0" xfId="0" applyNumberFormat="1" applyFill="1" applyAlignment="1">
      <alignment horizontal="right"/>
    </xf>
    <xf numFmtId="0" fontId="0" fillId="8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1" fontId="3" fillId="2" borderId="6" xfId="0" applyNumberFormat="1" applyFont="1" applyFill="1" applyBorder="1"/>
    <xf numFmtId="10" fontId="8" fillId="0" borderId="4" xfId="0" applyNumberFormat="1" applyFont="1" applyBorder="1"/>
    <xf numFmtId="164" fontId="3" fillId="2" borderId="4" xfId="1" applyNumberFormat="1" applyFont="1" applyFill="1" applyBorder="1"/>
    <xf numFmtId="0" fontId="3" fillId="2" borderId="0" xfId="1" applyNumberFormat="1" applyFont="1" applyFill="1"/>
    <xf numFmtId="164" fontId="3" fillId="2" borderId="8" xfId="1" applyNumberFormat="1" applyFont="1" applyFill="1" applyBorder="1"/>
    <xf numFmtId="3" fontId="3" fillId="0" borderId="0" xfId="0" applyNumberFormat="1" applyFont="1" applyBorder="1"/>
    <xf numFmtId="0" fontId="6" fillId="4" borderId="4" xfId="0" applyFont="1" applyFill="1" applyBorder="1"/>
    <xf numFmtId="1" fontId="3" fillId="2" borderId="13" xfId="0" applyNumberFormat="1" applyFont="1" applyFill="1" applyBorder="1"/>
    <xf numFmtId="0" fontId="6" fillId="3" borderId="4" xfId="0" applyFont="1" applyFill="1" applyBorder="1"/>
    <xf numFmtId="164" fontId="3" fillId="2" borderId="14" xfId="1" applyNumberFormat="1" applyFont="1" applyFill="1" applyBorder="1"/>
    <xf numFmtId="164" fontId="3" fillId="2" borderId="0" xfId="1" applyNumberFormat="1" applyFont="1" applyFill="1" applyBorder="1"/>
    <xf numFmtId="1" fontId="3" fillId="2" borderId="0" xfId="0" applyNumberFormat="1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0" fontId="8" fillId="0" borderId="0" xfId="0" applyNumberFormat="1" applyFont="1" applyBorder="1"/>
    <xf numFmtId="0" fontId="6" fillId="3" borderId="0" xfId="0" applyFont="1" applyFill="1" applyBorder="1"/>
    <xf numFmtId="164" fontId="3" fillId="2" borderId="0" xfId="0" applyNumberFormat="1" applyFont="1" applyFill="1" applyBorder="1"/>
    <xf numFmtId="3" fontId="3" fillId="0" borderId="4" xfId="0" applyNumberFormat="1" applyFont="1" applyBorder="1"/>
    <xf numFmtId="0" fontId="7" fillId="9" borderId="0" xfId="0" applyFont="1" applyFill="1"/>
    <xf numFmtId="164" fontId="7" fillId="9" borderId="0" xfId="1" applyNumberFormat="1" applyFont="1" applyFill="1"/>
    <xf numFmtId="164" fontId="3" fillId="9" borderId="0" xfId="1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6" borderId="0" xfId="0" applyNumberFormat="1" applyFill="1"/>
    <xf numFmtId="164" fontId="0" fillId="6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6" borderId="0" xfId="1" applyNumberFormat="1" applyFont="1" applyFill="1" applyBorder="1" applyAlignment="1">
      <alignment horizontal="left"/>
    </xf>
    <xf numFmtId="2" fontId="11" fillId="10" borderId="0" xfId="0" applyNumberFormat="1" applyFont="1" applyFill="1"/>
    <xf numFmtId="164" fontId="0" fillId="6" borderId="0" xfId="1" applyNumberFormat="1" applyFont="1" applyFill="1" applyBorder="1" applyAlignment="1">
      <alignment horizontal="left"/>
    </xf>
    <xf numFmtId="10" fontId="8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CC6A-1916-486B-8E5D-62E23E630A75}">
  <dimension ref="A1:CH76"/>
  <sheetViews>
    <sheetView tabSelected="1" topLeftCell="A61" workbookViewId="0">
      <selection activeCell="I72" sqref="I72"/>
    </sheetView>
  </sheetViews>
  <sheetFormatPr defaultRowHeight="15" x14ac:dyDescent="0.25"/>
  <cols>
    <col min="1" max="1" width="9.140625" style="2"/>
    <col min="2" max="2" width="16.140625" style="2" customWidth="1"/>
    <col min="3" max="3" width="14" style="2" bestFit="1" customWidth="1"/>
    <col min="4" max="4" width="11" style="2" bestFit="1" customWidth="1"/>
    <col min="5" max="6" width="9.140625" style="2"/>
    <col min="7" max="7" width="12" style="2" customWidth="1"/>
    <col min="8" max="8" width="9.140625" style="2"/>
    <col min="9" max="9" width="9" style="2" customWidth="1"/>
    <col min="10" max="18" width="9.140625" style="2"/>
    <col min="19" max="16384" width="9.140625" style="52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23.25" x14ac:dyDescent="0.35">
      <c r="A2" s="3"/>
      <c r="B2" s="4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18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25">
      <c r="A5" s="1"/>
      <c r="B5" s="1"/>
      <c r="C5" s="7" t="s">
        <v>1</v>
      </c>
      <c r="D5" s="1"/>
      <c r="E5" s="8">
        <f>WACC!K14</f>
        <v>9.8859791522340174E-2</v>
      </c>
      <c r="G5" s="1"/>
      <c r="H5" s="1" t="s">
        <v>2</v>
      </c>
      <c r="I5" s="1"/>
      <c r="J5" s="7">
        <v>36.07</v>
      </c>
      <c r="K5" s="1"/>
      <c r="L5" s="1" t="s">
        <v>3</v>
      </c>
      <c r="M5" s="1"/>
      <c r="N5" s="7">
        <f>(J6/J5)-1</f>
        <v>0.8020803774894425</v>
      </c>
      <c r="O5" s="1"/>
      <c r="P5" s="1"/>
      <c r="Q5" s="1"/>
    </row>
    <row r="6" spans="1:18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E74</f>
        <v>65.001039216044191</v>
      </c>
      <c r="K6" s="1"/>
      <c r="L6" s="1"/>
      <c r="M6" s="1"/>
      <c r="N6" s="1"/>
      <c r="O6" s="1"/>
      <c r="P6" s="1"/>
      <c r="Q6" s="1"/>
    </row>
    <row r="7" spans="1:18" x14ac:dyDescent="0.25">
      <c r="A7" s="1"/>
      <c r="B7" s="1"/>
      <c r="C7" s="1"/>
      <c r="D7" s="1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72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</row>
    <row r="11" spans="1:18" x14ac:dyDescent="0.25">
      <c r="A11" s="1"/>
      <c r="B11" s="1" t="s">
        <v>7</v>
      </c>
      <c r="C11" s="12">
        <v>3390393</v>
      </c>
      <c r="D11" s="12">
        <v>3744512</v>
      </c>
      <c r="E11" s="12">
        <v>3200583</v>
      </c>
      <c r="F11" s="12">
        <v>3476495</v>
      </c>
      <c r="G11" s="12">
        <v>5277169</v>
      </c>
      <c r="H11" s="12">
        <v>7468610</v>
      </c>
      <c r="I11" s="13">
        <f>H11*(1+I12)</f>
        <v>9190000</v>
      </c>
      <c r="J11" s="1">
        <f t="shared" ref="J11:R11" si="1">I11*(1+J12)</f>
        <v>9649500</v>
      </c>
      <c r="K11" s="1">
        <f t="shared" si="1"/>
        <v>10131975</v>
      </c>
      <c r="L11" s="1">
        <f t="shared" si="1"/>
        <v>10638573.75</v>
      </c>
      <c r="M11" s="1">
        <f t="shared" si="1"/>
        <v>11170502.4375</v>
      </c>
      <c r="N11" s="1">
        <f t="shared" si="1"/>
        <v>11729027.559375001</v>
      </c>
      <c r="O11" s="1">
        <f t="shared" si="1"/>
        <v>12315478.937343752</v>
      </c>
      <c r="P11" s="1">
        <f t="shared" si="1"/>
        <v>12931252.88421094</v>
      </c>
      <c r="Q11" s="1">
        <f t="shared" si="1"/>
        <v>13577815.528421488</v>
      </c>
      <c r="R11" s="1">
        <f t="shared" si="1"/>
        <v>14256706.304842563</v>
      </c>
    </row>
    <row r="12" spans="1:18" x14ac:dyDescent="0.25">
      <c r="A12" s="1"/>
      <c r="B12" s="85" t="s">
        <v>8</v>
      </c>
      <c r="C12" s="86"/>
      <c r="D12" s="86">
        <f>(D11/C11)-1</f>
        <v>0.10444777345871104</v>
      </c>
      <c r="E12" s="86">
        <f>(E11/D11)-1</f>
        <v>-0.14526031696520136</v>
      </c>
      <c r="F12" s="86">
        <f>(F11/E11)-1</f>
        <v>8.6206794199681802E-2</v>
      </c>
      <c r="G12" s="86">
        <f>(G11/F11)-1</f>
        <v>0.51795673515998164</v>
      </c>
      <c r="H12" s="86">
        <f>(H11/G11)-1</f>
        <v>0.41526830010560589</v>
      </c>
      <c r="I12" s="41">
        <v>0.23048331617262119</v>
      </c>
      <c r="J12" s="45">
        <v>0.05</v>
      </c>
      <c r="K12" s="45">
        <v>0.05</v>
      </c>
      <c r="L12" s="45">
        <v>0.05</v>
      </c>
      <c r="M12" s="45">
        <v>0.05</v>
      </c>
      <c r="N12" s="45">
        <v>0.05</v>
      </c>
      <c r="O12" s="45">
        <v>0.05</v>
      </c>
      <c r="P12" s="45">
        <v>0.05</v>
      </c>
      <c r="Q12" s="45">
        <v>0.05</v>
      </c>
      <c r="R12" s="45">
        <v>0.05</v>
      </c>
    </row>
    <row r="13" spans="1:18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 t="s">
        <v>9</v>
      </c>
      <c r="C14" s="12">
        <v>2752795</v>
      </c>
      <c r="D14" s="12">
        <v>2969430</v>
      </c>
      <c r="E14" s="12">
        <v>2482086</v>
      </c>
      <c r="F14" s="12">
        <v>2786581</v>
      </c>
      <c r="G14" s="12">
        <v>4367857</v>
      </c>
      <c r="H14" s="12">
        <v>6205474</v>
      </c>
      <c r="I14" s="73">
        <f>I11-I16</f>
        <v>7626542.2259429796</v>
      </c>
      <c r="J14" s="17">
        <f t="shared" ref="J14:R14" si="2">J11-J16</f>
        <v>7998219.8372401288</v>
      </c>
      <c r="K14" s="17">
        <f t="shared" si="2"/>
        <v>8387998.8541021356</v>
      </c>
      <c r="L14" s="17">
        <f t="shared" si="2"/>
        <v>8796760.2230572421</v>
      </c>
      <c r="M14" s="17">
        <f t="shared" si="2"/>
        <v>9225427.7317726035</v>
      </c>
      <c r="N14" s="17">
        <f t="shared" si="2"/>
        <v>9674970.0908018611</v>
      </c>
      <c r="O14" s="17">
        <f t="shared" si="2"/>
        <v>10146403.11640461</v>
      </c>
      <c r="P14" s="17">
        <f t="shared" si="2"/>
        <v>10640792.019340631</v>
      </c>
      <c r="Q14" s="17">
        <f t="shared" si="2"/>
        <v>11159253.804779241</v>
      </c>
      <c r="R14" s="17">
        <f t="shared" si="2"/>
        <v>11702959.788713362</v>
      </c>
    </row>
    <row r="15" spans="1:18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 t="s">
        <v>10</v>
      </c>
      <c r="C16" s="12">
        <f t="shared" ref="C16:G16" si="3">C11-C14</f>
        <v>637598</v>
      </c>
      <c r="D16" s="12">
        <f t="shared" si="3"/>
        <v>775082</v>
      </c>
      <c r="E16" s="12">
        <f t="shared" si="3"/>
        <v>718497</v>
      </c>
      <c r="F16" s="12">
        <f t="shared" si="3"/>
        <v>689914</v>
      </c>
      <c r="G16" s="12">
        <f t="shared" si="3"/>
        <v>909312</v>
      </c>
      <c r="H16" s="12">
        <f>H11-H14</f>
        <v>1263136</v>
      </c>
      <c r="I16" s="22">
        <f>I11*I17</f>
        <v>1563457.7740570202</v>
      </c>
      <c r="J16" s="19">
        <f>J11*J17</f>
        <v>1651280.1627598712</v>
      </c>
      <c r="K16" s="19">
        <f>K11*K17</f>
        <v>1743976.1458978646</v>
      </c>
      <c r="L16" s="19">
        <f t="shared" ref="L16:R16" si="4">L11*L17</f>
        <v>1841813.5269427579</v>
      </c>
      <c r="M16" s="19">
        <f t="shared" si="4"/>
        <v>1945074.7057273958</v>
      </c>
      <c r="N16" s="19">
        <f t="shared" si="4"/>
        <v>2054057.4685731409</v>
      </c>
      <c r="O16" s="19">
        <f t="shared" si="4"/>
        <v>2169075.8209391418</v>
      </c>
      <c r="P16" s="19">
        <f t="shared" si="4"/>
        <v>2290460.8648703098</v>
      </c>
      <c r="Q16" s="19">
        <f t="shared" si="4"/>
        <v>2418561.7236422468</v>
      </c>
      <c r="R16" s="19">
        <f t="shared" si="4"/>
        <v>2553746.5161292022</v>
      </c>
    </row>
    <row r="17" spans="1:18" x14ac:dyDescent="0.25">
      <c r="A17" s="1"/>
      <c r="B17" s="85" t="s">
        <v>11</v>
      </c>
      <c r="C17" s="86">
        <f t="shared" ref="C17:H17" si="5">C16/C11</f>
        <v>0.1880602042300111</v>
      </c>
      <c r="D17" s="86">
        <f t="shared" si="5"/>
        <v>0.20699145843303479</v>
      </c>
      <c r="E17" s="86">
        <f t="shared" si="5"/>
        <v>0.22448941333500802</v>
      </c>
      <c r="F17" s="86">
        <f t="shared" si="5"/>
        <v>0.19845102610531584</v>
      </c>
      <c r="G17" s="86">
        <f t="shared" si="5"/>
        <v>0.17231057030767824</v>
      </c>
      <c r="H17" s="86">
        <f t="shared" si="5"/>
        <v>0.1691259819430925</v>
      </c>
      <c r="I17" s="46">
        <f>H17+0.1%</f>
        <v>0.1701259819430925</v>
      </c>
      <c r="J17" s="98">
        <f t="shared" ref="J17:R17" si="6">I17+0.1%</f>
        <v>0.1711259819430925</v>
      </c>
      <c r="K17" s="98">
        <f t="shared" si="6"/>
        <v>0.1721259819430925</v>
      </c>
      <c r="L17" s="98">
        <f t="shared" si="6"/>
        <v>0.17312598194309251</v>
      </c>
      <c r="M17" s="98">
        <f t="shared" si="6"/>
        <v>0.17412598194309251</v>
      </c>
      <c r="N17" s="98">
        <f t="shared" si="6"/>
        <v>0.17512598194309251</v>
      </c>
      <c r="O17" s="98">
        <f t="shared" si="6"/>
        <v>0.17612598194309251</v>
      </c>
      <c r="P17" s="98">
        <f t="shared" si="6"/>
        <v>0.17712598194309251</v>
      </c>
      <c r="Q17" s="98">
        <f t="shared" si="6"/>
        <v>0.17812598194309251</v>
      </c>
      <c r="R17" s="98">
        <f t="shared" si="6"/>
        <v>0.17912598194309251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28777</v>
      </c>
      <c r="D19" s="12">
        <v>44193</v>
      </c>
      <c r="E19" s="12">
        <v>47045</v>
      </c>
      <c r="F19" s="12">
        <v>45167</v>
      </c>
      <c r="G19" s="12">
        <v>58407</v>
      </c>
      <c r="H19" s="12">
        <v>69822</v>
      </c>
      <c r="I19" s="47">
        <f>I20*I11</f>
        <v>91900</v>
      </c>
      <c r="J19" s="44">
        <f t="shared" ref="J19:R19" si="7">J20*J11</f>
        <v>110969.25</v>
      </c>
      <c r="K19" s="44">
        <f t="shared" si="7"/>
        <v>141847.65</v>
      </c>
      <c r="L19" s="44">
        <f t="shared" si="7"/>
        <v>148940.0325</v>
      </c>
      <c r="M19" s="44">
        <f t="shared" si="7"/>
        <v>223410.04875000002</v>
      </c>
      <c r="N19" s="44">
        <f t="shared" si="7"/>
        <v>234580.55118750004</v>
      </c>
      <c r="O19" s="44">
        <f t="shared" si="7"/>
        <v>246309.57874687505</v>
      </c>
      <c r="P19" s="44">
        <f t="shared" si="7"/>
        <v>258625.0576842188</v>
      </c>
      <c r="Q19" s="44">
        <f t="shared" si="7"/>
        <v>271556.31056842976</v>
      </c>
      <c r="R19" s="44">
        <f t="shared" si="7"/>
        <v>285134.12609685125</v>
      </c>
    </row>
    <row r="20" spans="1:18" x14ac:dyDescent="0.25">
      <c r="A20" s="1"/>
      <c r="B20" s="85" t="s">
        <v>20</v>
      </c>
      <c r="C20" s="87">
        <f>C19/C11</f>
        <v>8.4878065758158417E-3</v>
      </c>
      <c r="D20" s="87">
        <f t="shared" ref="D20:H20" si="8">D19/D11</f>
        <v>1.1802071938880153E-2</v>
      </c>
      <c r="E20" s="87">
        <f t="shared" si="8"/>
        <v>1.4698884546971599E-2</v>
      </c>
      <c r="F20" s="87">
        <f t="shared" si="8"/>
        <v>1.2992108431049088E-2</v>
      </c>
      <c r="G20" s="87">
        <f t="shared" si="8"/>
        <v>1.1067866122915526E-2</v>
      </c>
      <c r="H20" s="87">
        <f t="shared" si="8"/>
        <v>9.3487275410016057E-3</v>
      </c>
      <c r="I20" s="68">
        <v>0.01</v>
      </c>
      <c r="J20" s="76">
        <v>1.15E-2</v>
      </c>
      <c r="K20" s="76">
        <v>1.4E-2</v>
      </c>
      <c r="L20" s="76">
        <v>1.4E-2</v>
      </c>
      <c r="M20" s="76">
        <f>2%</f>
        <v>0.02</v>
      </c>
      <c r="N20" s="76">
        <f t="shared" ref="N20:R20" si="9">M20</f>
        <v>0.02</v>
      </c>
      <c r="O20" s="76">
        <f t="shared" si="9"/>
        <v>0.02</v>
      </c>
      <c r="P20" s="76">
        <f t="shared" si="9"/>
        <v>0.02</v>
      </c>
      <c r="Q20" s="76">
        <f t="shared" si="9"/>
        <v>0.02</v>
      </c>
      <c r="R20" s="76">
        <f t="shared" si="9"/>
        <v>0.02</v>
      </c>
    </row>
    <row r="21" spans="1:18" x14ac:dyDescent="0.25">
      <c r="A21" s="1"/>
      <c r="B21" s="1"/>
      <c r="C21" s="12"/>
      <c r="D21" s="12"/>
      <c r="E21" s="12"/>
      <c r="F21" s="12"/>
      <c r="G21" s="12"/>
      <c r="H21" s="12"/>
      <c r="I21" s="47"/>
      <c r="J21" s="44"/>
      <c r="K21" s="44"/>
      <c r="L21" s="44"/>
      <c r="M21" s="44"/>
      <c r="N21" s="44"/>
      <c r="O21" s="44"/>
      <c r="P21" s="44"/>
      <c r="Q21" s="44"/>
      <c r="R21" s="44"/>
    </row>
    <row r="22" spans="1:18" x14ac:dyDescent="0.25">
      <c r="A22" s="1"/>
      <c r="B22" s="1" t="s">
        <v>14</v>
      </c>
      <c r="C22" s="12">
        <v>230998</v>
      </c>
      <c r="D22" s="12">
        <v>245376</v>
      </c>
      <c r="E22" s="12">
        <v>242783</v>
      </c>
      <c r="F22" s="12">
        <v>225597</v>
      </c>
      <c r="G22" s="12">
        <v>308942</v>
      </c>
      <c r="H22" s="12">
        <v>342129</v>
      </c>
      <c r="I22" s="22">
        <f>I23*I11</f>
        <v>395169.99999999994</v>
      </c>
      <c r="J22" s="77">
        <f t="shared" ref="J22:R22" si="10">J23*J11</f>
        <v>453526.5</v>
      </c>
      <c r="K22" s="77">
        <f t="shared" si="10"/>
        <v>536994.67499999993</v>
      </c>
      <c r="L22" s="77">
        <f t="shared" si="10"/>
        <v>563844.40874999994</v>
      </c>
      <c r="M22" s="77">
        <f t="shared" si="10"/>
        <v>592036.62918749999</v>
      </c>
      <c r="N22" s="77">
        <f t="shared" si="10"/>
        <v>621638.46064687509</v>
      </c>
      <c r="O22" s="77">
        <f t="shared" si="10"/>
        <v>652720.38367921882</v>
      </c>
      <c r="P22" s="77">
        <f t="shared" si="10"/>
        <v>685356.4028631798</v>
      </c>
      <c r="Q22" s="77">
        <f t="shared" si="10"/>
        <v>719624.22300633881</v>
      </c>
      <c r="R22" s="77">
        <f t="shared" si="10"/>
        <v>755605.4341566558</v>
      </c>
    </row>
    <row r="23" spans="1:18" x14ac:dyDescent="0.25">
      <c r="A23" s="1"/>
      <c r="B23" s="85" t="s">
        <v>20</v>
      </c>
      <c r="C23" s="87">
        <f>C22/C11</f>
        <v>6.8133104333332445E-2</v>
      </c>
      <c r="D23" s="87">
        <f t="shared" ref="D23:H23" si="11">D22/D11</f>
        <v>6.5529500239283514E-2</v>
      </c>
      <c r="E23" s="87">
        <f t="shared" si="11"/>
        <v>7.5855867509138183E-2</v>
      </c>
      <c r="F23" s="87">
        <f t="shared" si="11"/>
        <v>6.4892082399082979E-2</v>
      </c>
      <c r="G23" s="87">
        <f t="shared" si="11"/>
        <v>5.8543131743554168E-2</v>
      </c>
      <c r="H23" s="87">
        <f t="shared" si="11"/>
        <v>4.5808925623375699E-2</v>
      </c>
      <c r="I23" s="68">
        <v>4.2999999999999997E-2</v>
      </c>
      <c r="J23" s="76">
        <v>4.7E-2</v>
      </c>
      <c r="K23" s="76">
        <v>5.2999999999999999E-2</v>
      </c>
      <c r="L23" s="76">
        <v>5.2999999999999999E-2</v>
      </c>
      <c r="M23" s="76">
        <v>5.2999999999999999E-2</v>
      </c>
      <c r="N23" s="76">
        <v>5.2999999999999999E-2</v>
      </c>
      <c r="O23" s="76">
        <v>5.2999999999999999E-2</v>
      </c>
      <c r="P23" s="76">
        <v>5.2999999999999999E-2</v>
      </c>
      <c r="Q23" s="76">
        <v>5.2999999999999999E-2</v>
      </c>
      <c r="R23" s="76">
        <v>5.2999999999999999E-2</v>
      </c>
    </row>
    <row r="24" spans="1:18" x14ac:dyDescent="0.25">
      <c r="A24" s="1"/>
      <c r="B24" s="1"/>
      <c r="C24" s="12"/>
      <c r="D24" s="12"/>
      <c r="E24" s="12"/>
      <c r="F24" s="12"/>
      <c r="G24" s="12"/>
      <c r="H24" s="12"/>
      <c r="I24" s="22"/>
      <c r="J24" s="77"/>
      <c r="K24" s="77"/>
      <c r="L24" s="77"/>
      <c r="M24" s="77"/>
      <c r="N24" s="77"/>
      <c r="O24" s="77"/>
      <c r="P24" s="77"/>
      <c r="Q24" s="77"/>
      <c r="R24" s="77"/>
    </row>
    <row r="25" spans="1:18" x14ac:dyDescent="0.25">
      <c r="A25" s="1"/>
      <c r="B25" s="1" t="s">
        <v>13</v>
      </c>
      <c r="C25" s="12">
        <v>156032</v>
      </c>
      <c r="D25" s="12">
        <v>165402</v>
      </c>
      <c r="E25" s="12">
        <v>180326</v>
      </c>
      <c r="F25" s="12">
        <v>224243</v>
      </c>
      <c r="G25" s="12">
        <v>398650</v>
      </c>
      <c r="H25" s="12">
        <v>558926</v>
      </c>
      <c r="I25" s="22">
        <f>I26*I11</f>
        <v>643300.00000000012</v>
      </c>
      <c r="J25" s="77">
        <f t="shared" ref="J25:R25" si="12">J26*J11</f>
        <v>704413.5</v>
      </c>
      <c r="K25" s="77">
        <f t="shared" si="12"/>
        <v>759898.125</v>
      </c>
      <c r="L25" s="77">
        <f t="shared" si="12"/>
        <v>797893.03125</v>
      </c>
      <c r="M25" s="77">
        <f t="shared" si="12"/>
        <v>837787.68281249993</v>
      </c>
      <c r="N25" s="77">
        <f t="shared" si="12"/>
        <v>879677.06695312506</v>
      </c>
      <c r="O25" s="77">
        <f t="shared" si="12"/>
        <v>948291.87817546888</v>
      </c>
      <c r="P25" s="77">
        <f t="shared" si="12"/>
        <v>995706.47208424238</v>
      </c>
      <c r="Q25" s="77">
        <f t="shared" si="12"/>
        <v>1045491.7956884545</v>
      </c>
      <c r="R25" s="77">
        <f t="shared" si="12"/>
        <v>1097766.3854728774</v>
      </c>
    </row>
    <row r="26" spans="1:18" x14ac:dyDescent="0.25">
      <c r="A26" s="1"/>
      <c r="B26" s="85" t="s">
        <v>20</v>
      </c>
      <c r="C26" s="87">
        <f>C25/C11</f>
        <v>4.6021803372057454E-2</v>
      </c>
      <c r="D26" s="87">
        <f t="shared" ref="D26:H26" si="13">D25/D11</f>
        <v>4.4171844021330418E-2</v>
      </c>
      <c r="E26" s="87">
        <f t="shared" si="13"/>
        <v>5.6341610262880232E-2</v>
      </c>
      <c r="F26" s="87">
        <f t="shared" si="13"/>
        <v>6.4502609668646155E-2</v>
      </c>
      <c r="G26" s="87">
        <f t="shared" si="13"/>
        <v>7.5542397827319918E-2</v>
      </c>
      <c r="H26" s="87">
        <f t="shared" si="13"/>
        <v>7.4836683131131496E-2</v>
      </c>
      <c r="I26" s="68">
        <v>7.0000000000000007E-2</v>
      </c>
      <c r="J26" s="76">
        <v>7.2999999999999995E-2</v>
      </c>
      <c r="K26" s="76">
        <v>7.4999999999999997E-2</v>
      </c>
      <c r="L26" s="76">
        <v>7.4999999999999997E-2</v>
      </c>
      <c r="M26" s="76">
        <v>7.4999999999999997E-2</v>
      </c>
      <c r="N26" s="76">
        <v>7.4999999999999997E-2</v>
      </c>
      <c r="O26" s="76">
        <v>7.6999999999999999E-2</v>
      </c>
      <c r="P26" s="76">
        <v>7.6999999999999999E-2</v>
      </c>
      <c r="Q26" s="76">
        <v>7.6999999999999999E-2</v>
      </c>
      <c r="R26" s="76">
        <v>7.6999999999999999E-2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22"/>
      <c r="J27" s="77"/>
      <c r="K27" s="77"/>
      <c r="L27" s="77"/>
      <c r="M27" s="77"/>
      <c r="N27" s="77"/>
      <c r="O27" s="77"/>
      <c r="P27" s="77"/>
      <c r="Q27" s="77"/>
      <c r="R27" s="77"/>
    </row>
    <row r="28" spans="1:18" x14ac:dyDescent="0.25">
      <c r="A28" s="1"/>
      <c r="B28" s="1" t="s">
        <v>45</v>
      </c>
      <c r="C28" s="12">
        <v>-47554</v>
      </c>
      <c r="D28" s="12">
        <v>-44546</v>
      </c>
      <c r="E28" s="12">
        <v>-10536</v>
      </c>
      <c r="F28" s="12">
        <v>-25523</v>
      </c>
      <c r="G28" s="12">
        <v>-47068</v>
      </c>
      <c r="H28" s="12">
        <v>-63802</v>
      </c>
      <c r="I28" s="22">
        <f>I29*I11</f>
        <v>-55140</v>
      </c>
      <c r="J28" s="77">
        <f t="shared" ref="J28:R28" si="14">J29*J11</f>
        <v>-57897</v>
      </c>
      <c r="K28" s="77">
        <f t="shared" si="14"/>
        <v>-60791.85</v>
      </c>
      <c r="L28" s="77">
        <f t="shared" si="14"/>
        <v>-63831.442500000005</v>
      </c>
      <c r="M28" s="77">
        <f t="shared" si="14"/>
        <v>-67023.014624999996</v>
      </c>
      <c r="N28" s="77">
        <f t="shared" si="14"/>
        <v>-70374.165356250014</v>
      </c>
      <c r="O28" s="77">
        <f t="shared" si="14"/>
        <v>-73892.873624062515</v>
      </c>
      <c r="P28" s="77">
        <f t="shared" si="14"/>
        <v>-77587.517305265646</v>
      </c>
      <c r="Q28" s="77">
        <f t="shared" si="14"/>
        <v>-81466.893170528929</v>
      </c>
      <c r="R28" s="77">
        <f t="shared" si="14"/>
        <v>-85540.237829055375</v>
      </c>
    </row>
    <row r="29" spans="1:18" x14ac:dyDescent="0.25">
      <c r="A29" s="1"/>
      <c r="B29" s="85" t="s">
        <v>20</v>
      </c>
      <c r="C29" s="87">
        <f>C28/C11</f>
        <v>-1.4026102578668608E-2</v>
      </c>
      <c r="D29" s="87">
        <f t="shared" ref="D29:H29" si="15">D28/D11</f>
        <v>-1.1896343235113146E-2</v>
      </c>
      <c r="E29" s="87">
        <f t="shared" si="15"/>
        <v>-3.291900256921942E-3</v>
      </c>
      <c r="F29" s="87">
        <f t="shared" si="15"/>
        <v>-7.3415897333377438E-3</v>
      </c>
      <c r="G29" s="87">
        <f t="shared" si="15"/>
        <v>-8.9191761719209679E-3</v>
      </c>
      <c r="H29" s="87">
        <f t="shared" si="15"/>
        <v>-8.542687327360781E-3</v>
      </c>
      <c r="I29" s="68">
        <v>-6.0000000000000001E-3</v>
      </c>
      <c r="J29" s="76">
        <v>-6.0000000000000001E-3</v>
      </c>
      <c r="K29" s="76">
        <v>-6.0000000000000001E-3</v>
      </c>
      <c r="L29" s="76">
        <v>-6.0000000000000001E-3</v>
      </c>
      <c r="M29" s="76">
        <v>-6.0000000000000001E-3</v>
      </c>
      <c r="N29" s="76">
        <v>-6.0000000000000001E-3</v>
      </c>
      <c r="O29" s="76">
        <v>-6.0000000000000001E-3</v>
      </c>
      <c r="P29" s="76">
        <v>-6.0000000000000001E-3</v>
      </c>
      <c r="Q29" s="76">
        <v>-6.0000000000000001E-3</v>
      </c>
      <c r="R29" s="76">
        <v>-6.0000000000000001E-3</v>
      </c>
    </row>
    <row r="30" spans="1:18" x14ac:dyDescent="0.25">
      <c r="A30" s="1"/>
      <c r="B30" s="14"/>
      <c r="C30" s="12"/>
      <c r="D30" s="12"/>
      <c r="E30" s="12"/>
      <c r="F30" s="12"/>
      <c r="G30" s="12"/>
      <c r="H30" s="12"/>
      <c r="I30" s="22"/>
      <c r="J30" s="77"/>
      <c r="K30" s="77"/>
      <c r="L30" s="77"/>
      <c r="M30" s="77"/>
      <c r="N30" s="77"/>
      <c r="O30" s="77"/>
      <c r="P30" s="77"/>
      <c r="Q30" s="77"/>
      <c r="R30" s="77"/>
    </row>
    <row r="31" spans="1:18" x14ac:dyDescent="0.25">
      <c r="A31" s="1"/>
      <c r="B31" s="1" t="s">
        <v>43</v>
      </c>
      <c r="C31" s="25">
        <v>-117971</v>
      </c>
      <c r="D31" s="25">
        <v>-106032</v>
      </c>
      <c r="E31" s="25">
        <v>-81326</v>
      </c>
      <c r="F31" s="25">
        <v>-71874</v>
      </c>
      <c r="G31" s="25">
        <v>-58153</v>
      </c>
      <c r="H31" s="25">
        <v>-74266</v>
      </c>
      <c r="I31" s="22"/>
      <c r="J31" s="77"/>
      <c r="K31" s="77"/>
      <c r="L31" s="77"/>
      <c r="M31" s="77"/>
      <c r="N31" s="77"/>
      <c r="O31" s="77"/>
      <c r="P31" s="77"/>
      <c r="Q31" s="77"/>
      <c r="R31" s="77"/>
    </row>
    <row r="32" spans="1:18" x14ac:dyDescent="0.25">
      <c r="A32" s="1"/>
      <c r="B32" s="1" t="s">
        <v>44</v>
      </c>
      <c r="C32" s="25">
        <v>10477</v>
      </c>
      <c r="D32" s="25">
        <v>11207</v>
      </c>
      <c r="E32" s="25">
        <v>12039</v>
      </c>
      <c r="F32" s="25">
        <v>9306</v>
      </c>
      <c r="G32" s="25">
        <v>11051</v>
      </c>
      <c r="H32" s="25">
        <v>40615</v>
      </c>
      <c r="I32" s="22"/>
      <c r="J32" s="77"/>
      <c r="K32" s="77"/>
      <c r="L32" s="77"/>
      <c r="M32" s="77"/>
      <c r="N32" s="77"/>
      <c r="O32" s="77"/>
      <c r="P32" s="77"/>
      <c r="Q32" s="77"/>
      <c r="R32" s="77"/>
    </row>
    <row r="33" spans="1:18" x14ac:dyDescent="0.25">
      <c r="A33" s="1"/>
      <c r="B33" s="1" t="s">
        <v>15</v>
      </c>
      <c r="C33" s="12">
        <v>-27328</v>
      </c>
      <c r="D33" s="12">
        <v>28660</v>
      </c>
      <c r="E33" s="12">
        <v>-9919</v>
      </c>
      <c r="F33" s="12">
        <v>-23378</v>
      </c>
      <c r="G33" s="12">
        <v>-4815</v>
      </c>
      <c r="H33" s="1">
        <v>34058</v>
      </c>
      <c r="I33" s="40"/>
      <c r="J33" s="78"/>
      <c r="K33" s="78"/>
      <c r="L33" s="78"/>
      <c r="M33" s="78"/>
      <c r="N33" s="79"/>
      <c r="O33" s="78"/>
      <c r="P33" s="78"/>
      <c r="Q33" s="78"/>
      <c r="R33" s="78"/>
    </row>
    <row r="34" spans="1:18" x14ac:dyDescent="0.25">
      <c r="A34" s="1"/>
      <c r="B34" s="1" t="s">
        <v>57</v>
      </c>
      <c r="C34" s="69">
        <f>SUM(C31:C33)</f>
        <v>-134822</v>
      </c>
      <c r="D34" s="69">
        <f t="shared" ref="D34:H34" si="16">SUM(D31:D33)</f>
        <v>-66165</v>
      </c>
      <c r="E34" s="69">
        <f t="shared" si="16"/>
        <v>-79206</v>
      </c>
      <c r="F34" s="69">
        <f t="shared" si="16"/>
        <v>-85946</v>
      </c>
      <c r="G34" s="69">
        <f t="shared" si="16"/>
        <v>-51917</v>
      </c>
      <c r="H34" s="69">
        <f t="shared" si="16"/>
        <v>407</v>
      </c>
      <c r="I34" s="40">
        <f>I11*-0.5%</f>
        <v>-45950</v>
      </c>
      <c r="J34" s="78">
        <f t="shared" ref="J34:R34" si="17">J11*-0.5%</f>
        <v>-48247.5</v>
      </c>
      <c r="K34" s="78">
        <f t="shared" si="17"/>
        <v>-50659.875</v>
      </c>
      <c r="L34" s="78">
        <f t="shared" si="17"/>
        <v>-53192.868750000001</v>
      </c>
      <c r="M34" s="78">
        <f t="shared" si="17"/>
        <v>-55852.512187500004</v>
      </c>
      <c r="N34" s="78">
        <f t="shared" si="17"/>
        <v>-58645.137796875009</v>
      </c>
      <c r="O34" s="78">
        <f t="shared" si="17"/>
        <v>-61577.394686718762</v>
      </c>
      <c r="P34" s="78">
        <f t="shared" si="17"/>
        <v>-64656.264421054701</v>
      </c>
      <c r="Q34" s="78">
        <f t="shared" si="17"/>
        <v>-67889.077642107441</v>
      </c>
      <c r="R34" s="78">
        <f t="shared" si="17"/>
        <v>-71283.531524212813</v>
      </c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3"/>
      <c r="J35" s="77"/>
      <c r="K35" s="77"/>
      <c r="L35" s="79"/>
      <c r="M35" s="79"/>
      <c r="N35" s="79"/>
      <c r="O35" s="79"/>
      <c r="P35" s="79"/>
      <c r="Q35" s="79"/>
      <c r="R35" s="80"/>
    </row>
    <row r="36" spans="1:18" x14ac:dyDescent="0.25">
      <c r="A36" s="1"/>
      <c r="B36" s="1" t="s">
        <v>16</v>
      </c>
      <c r="C36" s="12">
        <f>SUM(C19:C25,C28)</f>
        <v>368253.0766209109</v>
      </c>
      <c r="D36" s="12">
        <f>SUM(D19:D25,D28)</f>
        <v>410425.07733157219</v>
      </c>
      <c r="E36" s="12">
        <f>SUM(E19:E25,E28)</f>
        <v>459618.0905547521</v>
      </c>
      <c r="F36" s="12">
        <f>SUM(F19:F25,F28)</f>
        <v>469484.07788419083</v>
      </c>
      <c r="G36" s="12">
        <f>SUM(G19:G25,G28)</f>
        <v>718931.0696109978</v>
      </c>
      <c r="H36" s="12">
        <f>SUM(H19:H25,H28)</f>
        <v>907075.05515765317</v>
      </c>
      <c r="I36" s="40">
        <f>SUM(I19:I25,I28)</f>
        <v>1075230.0530000001</v>
      </c>
      <c r="J36" s="78">
        <f t="shared" ref="I36:R36" si="18">SUM(J19:J25,J28)</f>
        <v>1211012.3085</v>
      </c>
      <c r="K36" s="78">
        <f t="shared" si="18"/>
        <v>1377948.6669999999</v>
      </c>
      <c r="L36" s="78">
        <f t="shared" si="18"/>
        <v>1446846.0970000001</v>
      </c>
      <c r="M36" s="78">
        <f t="shared" si="18"/>
        <v>1586211.4191249998</v>
      </c>
      <c r="N36" s="78">
        <f t="shared" si="18"/>
        <v>1665521.9864312501</v>
      </c>
      <c r="O36" s="78">
        <f t="shared" si="18"/>
        <v>1773429.0399775002</v>
      </c>
      <c r="P36" s="78">
        <f t="shared" si="18"/>
        <v>1862100.4883263754</v>
      </c>
      <c r="Q36" s="78">
        <f t="shared" si="18"/>
        <v>1955205.5090926941</v>
      </c>
      <c r="R36" s="78">
        <f t="shared" si="18"/>
        <v>2052965.7808973289</v>
      </c>
    </row>
    <row r="37" spans="1:18" x14ac:dyDescent="0.25">
      <c r="A37" s="1"/>
      <c r="B37" s="85" t="s">
        <v>20</v>
      </c>
      <c r="C37" s="86">
        <f>C36/C11</f>
        <v>0.10861663430195583</v>
      </c>
      <c r="D37" s="86">
        <f>D36/D11</f>
        <v>0.109607093616357</v>
      </c>
      <c r="E37" s="86">
        <f>E36/E11</f>
        <v>0.14360449035527342</v>
      </c>
      <c r="F37" s="86">
        <f>F36/F11</f>
        <v>0.1350452331685191</v>
      </c>
      <c r="G37" s="86">
        <f>G36/G11</f>
        <v>0.13623423271284241</v>
      </c>
      <c r="H37" s="86">
        <f>H36/H11</f>
        <v>0.12145165635341157</v>
      </c>
      <c r="I37" s="20">
        <f>I36/I11</f>
        <v>0.1170000057671382</v>
      </c>
      <c r="J37" s="48">
        <f t="shared" ref="J37:R37" si="19">J36/J11</f>
        <v>0.12550000606249029</v>
      </c>
      <c r="K37" s="48">
        <f t="shared" si="19"/>
        <v>0.13600000661272851</v>
      </c>
      <c r="L37" s="48">
        <f t="shared" si="19"/>
        <v>0.13600000629783668</v>
      </c>
      <c r="M37" s="48">
        <f t="shared" si="19"/>
        <v>0.14200000653506861</v>
      </c>
      <c r="N37" s="48">
        <f t="shared" si="19"/>
        <v>0.14200000622387488</v>
      </c>
      <c r="O37" s="48">
        <f t="shared" si="19"/>
        <v>0.14400000592749987</v>
      </c>
      <c r="P37" s="48">
        <f t="shared" si="19"/>
        <v>0.14400000564523799</v>
      </c>
      <c r="Q37" s="48">
        <f t="shared" si="19"/>
        <v>0.14400000537641713</v>
      </c>
      <c r="R37" s="48">
        <f t="shared" si="19"/>
        <v>0.14400000512039726</v>
      </c>
    </row>
    <row r="38" spans="1:18" x14ac:dyDescent="0.25">
      <c r="A38" s="1"/>
      <c r="B38" s="1"/>
      <c r="C38" s="15"/>
      <c r="D38" s="15"/>
      <c r="E38" s="15"/>
      <c r="F38" s="15"/>
      <c r="G38" s="15"/>
      <c r="H38" s="15"/>
      <c r="I38" s="21"/>
      <c r="J38" s="42"/>
      <c r="K38" s="42"/>
      <c r="L38" s="42"/>
      <c r="M38" s="42"/>
      <c r="N38" s="42"/>
      <c r="O38" s="42"/>
      <c r="P38" s="42"/>
      <c r="Q38" s="42"/>
      <c r="R38" s="42"/>
    </row>
    <row r="39" spans="1:18" x14ac:dyDescent="0.25">
      <c r="A39" s="1"/>
      <c r="B39" s="1" t="s">
        <v>17</v>
      </c>
      <c r="C39" s="12">
        <f>C16-C36</f>
        <v>269344.9233790891</v>
      </c>
      <c r="D39" s="12">
        <f>D16-D36</f>
        <v>364656.92266842781</v>
      </c>
      <c r="E39" s="12">
        <f>E16-E36</f>
        <v>258878.9094452479</v>
      </c>
      <c r="F39" s="12">
        <f>F16-F36</f>
        <v>220429.92211580917</v>
      </c>
      <c r="G39" s="12">
        <f>G16-G36</f>
        <v>190380.9303890022</v>
      </c>
      <c r="H39" s="12">
        <f>H16-H36</f>
        <v>356060.94484234683</v>
      </c>
      <c r="I39" s="40">
        <f>I16-I36</f>
        <v>488227.72105702013</v>
      </c>
      <c r="J39" s="78">
        <f t="shared" ref="J39:R39" si="20">J16-J36</f>
        <v>440267.85425987118</v>
      </c>
      <c r="K39" s="78">
        <f t="shared" si="20"/>
        <v>366027.4788978647</v>
      </c>
      <c r="L39" s="78">
        <f t="shared" si="20"/>
        <v>394967.42994275782</v>
      </c>
      <c r="M39" s="78">
        <f t="shared" si="20"/>
        <v>358863.28660239605</v>
      </c>
      <c r="N39" s="78">
        <f t="shared" si="20"/>
        <v>388535.4821418908</v>
      </c>
      <c r="O39" s="78">
        <f t="shared" si="20"/>
        <v>395646.78096164158</v>
      </c>
      <c r="P39" s="78">
        <f t="shared" si="20"/>
        <v>428360.37654393446</v>
      </c>
      <c r="Q39" s="78">
        <f t="shared" si="20"/>
        <v>463356.21454955265</v>
      </c>
      <c r="R39" s="78">
        <f t="shared" si="20"/>
        <v>500780.73523187335</v>
      </c>
    </row>
    <row r="40" spans="1:18" x14ac:dyDescent="0.25">
      <c r="A40" s="1"/>
      <c r="B40" s="1"/>
      <c r="C40" s="23"/>
      <c r="D40" s="23"/>
      <c r="E40" s="23"/>
      <c r="F40" s="23"/>
      <c r="G40" s="23"/>
      <c r="H40" s="23"/>
      <c r="I40" s="24"/>
      <c r="J40" s="80"/>
      <c r="K40" s="80"/>
      <c r="L40" s="80"/>
      <c r="M40" s="80"/>
      <c r="N40" s="80"/>
      <c r="O40" s="80"/>
      <c r="P40" s="80"/>
      <c r="Q40" s="80"/>
      <c r="R40" s="80"/>
    </row>
    <row r="41" spans="1:18" x14ac:dyDescent="0.25">
      <c r="A41" s="1"/>
      <c r="B41" s="1" t="s">
        <v>18</v>
      </c>
      <c r="C41" s="12">
        <f>C39+C31+C32+C33</f>
        <v>134522.9233790891</v>
      </c>
      <c r="D41" s="12">
        <f>D39+D31+D32+D33</f>
        <v>298491.92266842781</v>
      </c>
      <c r="E41" s="12">
        <f>E39+E31+E32+E33</f>
        <v>179672.9094452479</v>
      </c>
      <c r="F41" s="12">
        <f>F39+F31+F32+F33</f>
        <v>134483.92211580917</v>
      </c>
      <c r="G41" s="12">
        <f>G39+G31+G32+G33</f>
        <v>138463.9303890022</v>
      </c>
      <c r="H41" s="12">
        <f>H39+H31+H32+H33</f>
        <v>356467.94484234683</v>
      </c>
      <c r="I41" s="40">
        <f>I39+I34</f>
        <v>442277.72105702013</v>
      </c>
      <c r="J41" s="78">
        <f t="shared" ref="J41:R41" si="21">J39+J34</f>
        <v>392020.35425987118</v>
      </c>
      <c r="K41" s="78">
        <f t="shared" si="21"/>
        <v>315367.6038978647</v>
      </c>
      <c r="L41" s="78">
        <f t="shared" si="21"/>
        <v>341774.5611927578</v>
      </c>
      <c r="M41" s="78">
        <f t="shared" si="21"/>
        <v>303010.77441489603</v>
      </c>
      <c r="N41" s="78">
        <f t="shared" si="21"/>
        <v>329890.34434501576</v>
      </c>
      <c r="O41" s="78">
        <f t="shared" si="21"/>
        <v>334069.38627492281</v>
      </c>
      <c r="P41" s="78">
        <f t="shared" si="21"/>
        <v>363704.11212287977</v>
      </c>
      <c r="Q41" s="78">
        <f t="shared" si="21"/>
        <v>395467.13690744521</v>
      </c>
      <c r="R41" s="78">
        <f t="shared" si="21"/>
        <v>429497.20370766055</v>
      </c>
    </row>
    <row r="42" spans="1:18" x14ac:dyDescent="0.25">
      <c r="A42" s="1"/>
      <c r="B42" s="1"/>
      <c r="C42" s="23"/>
      <c r="D42" s="23"/>
      <c r="E42" s="23"/>
      <c r="F42" s="23"/>
      <c r="G42" s="23"/>
      <c r="H42" s="23"/>
      <c r="I42" s="13"/>
      <c r="J42" s="79"/>
      <c r="K42" s="79"/>
      <c r="L42" s="79"/>
      <c r="M42" s="79"/>
      <c r="N42" s="79"/>
      <c r="O42" s="79"/>
      <c r="P42" s="79"/>
      <c r="Q42" s="79"/>
      <c r="R42" s="80"/>
    </row>
    <row r="43" spans="1:18" x14ac:dyDescent="0.25">
      <c r="A43" s="1"/>
      <c r="B43" s="1" t="s">
        <v>19</v>
      </c>
      <c r="C43" s="12">
        <f>C39</f>
        <v>269344.9233790891</v>
      </c>
      <c r="D43" s="12">
        <f t="shared" ref="D43:R43" si="22">D39</f>
        <v>364656.92266842781</v>
      </c>
      <c r="E43" s="12">
        <f t="shared" si="22"/>
        <v>258878.9094452479</v>
      </c>
      <c r="F43" s="12">
        <f t="shared" si="22"/>
        <v>220429.92211580917</v>
      </c>
      <c r="G43" s="12">
        <f t="shared" si="22"/>
        <v>190380.9303890022</v>
      </c>
      <c r="H43" s="12">
        <f t="shared" si="22"/>
        <v>356060.94484234683</v>
      </c>
      <c r="I43" s="40">
        <f>I39</f>
        <v>488227.72105702013</v>
      </c>
      <c r="J43" s="78">
        <f t="shared" si="22"/>
        <v>440267.85425987118</v>
      </c>
      <c r="K43" s="78">
        <f t="shared" si="22"/>
        <v>366027.4788978647</v>
      </c>
      <c r="L43" s="78">
        <f t="shared" si="22"/>
        <v>394967.42994275782</v>
      </c>
      <c r="M43" s="78">
        <f t="shared" si="22"/>
        <v>358863.28660239605</v>
      </c>
      <c r="N43" s="78">
        <f t="shared" si="22"/>
        <v>388535.4821418908</v>
      </c>
      <c r="O43" s="78">
        <f t="shared" si="22"/>
        <v>395646.78096164158</v>
      </c>
      <c r="P43" s="78">
        <f t="shared" si="22"/>
        <v>428360.37654393446</v>
      </c>
      <c r="Q43" s="78">
        <f t="shared" si="22"/>
        <v>463356.21454955265</v>
      </c>
      <c r="R43" s="78">
        <f t="shared" si="22"/>
        <v>500780.73523187335</v>
      </c>
    </row>
    <row r="44" spans="1:18" x14ac:dyDescent="0.25">
      <c r="A44" s="1"/>
      <c r="B44" s="85" t="s">
        <v>20</v>
      </c>
      <c r="C44" s="86">
        <f>C43/C11</f>
        <v>7.9443569928055277E-2</v>
      </c>
      <c r="D44" s="86">
        <f>D43/D11</f>
        <v>9.7384364816677796E-2</v>
      </c>
      <c r="E44" s="86">
        <f>E43/E11</f>
        <v>8.0884922979734597E-2</v>
      </c>
      <c r="F44" s="86">
        <f>F43/F11</f>
        <v>6.340579293679674E-2</v>
      </c>
      <c r="G44" s="86">
        <f>G43/G11</f>
        <v>3.6076337594835826E-2</v>
      </c>
      <c r="H44" s="86">
        <f>H43/H11</f>
        <v>4.7674325589680919E-2</v>
      </c>
      <c r="I44" s="41">
        <f>I43/I11</f>
        <v>5.3125976175954312E-2</v>
      </c>
      <c r="J44" s="45">
        <f t="shared" ref="J44:R44" si="23">J43/J11</f>
        <v>4.5625975880602229E-2</v>
      </c>
      <c r="K44" s="45">
        <f t="shared" si="23"/>
        <v>3.6125975330363991E-2</v>
      </c>
      <c r="L44" s="45">
        <f t="shared" si="23"/>
        <v>3.7125975645255813E-2</v>
      </c>
      <c r="M44" s="45">
        <f t="shared" si="23"/>
        <v>3.21259754080239E-2</v>
      </c>
      <c r="N44" s="45">
        <f t="shared" si="23"/>
        <v>3.3125975719217639E-2</v>
      </c>
      <c r="O44" s="45">
        <f t="shared" si="23"/>
        <v>3.2125976015592632E-2</v>
      </c>
      <c r="P44" s="45">
        <f t="shared" si="23"/>
        <v>3.3125976297854513E-2</v>
      </c>
      <c r="Q44" s="45">
        <f t="shared" si="23"/>
        <v>3.4125976566675369E-2</v>
      </c>
      <c r="R44" s="45">
        <f>R43/R11</f>
        <v>3.5125976822695262E-2</v>
      </c>
    </row>
    <row r="45" spans="1:18" x14ac:dyDescent="0.25">
      <c r="A45" s="1"/>
      <c r="B45" s="14"/>
      <c r="C45" s="1"/>
      <c r="D45" s="1"/>
      <c r="E45" s="1"/>
      <c r="F45" s="1"/>
      <c r="G45" s="1"/>
      <c r="H45" s="1"/>
      <c r="I45" s="13"/>
      <c r="J45" s="79"/>
      <c r="K45" s="79"/>
      <c r="L45" s="79"/>
      <c r="M45" s="79"/>
      <c r="N45" s="79"/>
      <c r="O45" s="79"/>
      <c r="P45" s="79"/>
      <c r="Q45" s="79"/>
      <c r="R45" s="79"/>
    </row>
    <row r="46" spans="1:18" x14ac:dyDescent="0.25">
      <c r="A46" s="1"/>
      <c r="B46" s="1" t="s">
        <v>21</v>
      </c>
      <c r="C46" s="12">
        <v>31540</v>
      </c>
      <c r="D46" s="12">
        <v>56061</v>
      </c>
      <c r="E46" s="12">
        <v>13118</v>
      </c>
      <c r="F46" s="25">
        <v>12762</v>
      </c>
      <c r="G46" s="12">
        <v>28588</v>
      </c>
      <c r="H46" s="12">
        <v>57913</v>
      </c>
      <c r="I46" s="22">
        <f>I43*I47</f>
        <v>87880.989790263615</v>
      </c>
      <c r="J46" s="77">
        <f t="shared" ref="J46:R46" si="24">J43*J47</f>
        <v>79248.213766776811</v>
      </c>
      <c r="K46" s="77">
        <f t="shared" si="24"/>
        <v>65884.946201615647</v>
      </c>
      <c r="L46" s="77">
        <f t="shared" si="24"/>
        <v>71094.137389696407</v>
      </c>
      <c r="M46" s="77">
        <f t="shared" si="24"/>
        <v>64595.391588431288</v>
      </c>
      <c r="N46" s="77">
        <f t="shared" si="24"/>
        <v>69936.386785540337</v>
      </c>
      <c r="O46" s="77">
        <f t="shared" si="24"/>
        <v>71216.420573095485</v>
      </c>
      <c r="P46" s="77">
        <f t="shared" si="24"/>
        <v>77104.867777908206</v>
      </c>
      <c r="Q46" s="77">
        <f t="shared" si="24"/>
        <v>83404.11861891947</v>
      </c>
      <c r="R46" s="77">
        <f t="shared" si="24"/>
        <v>90140.532341737198</v>
      </c>
    </row>
    <row r="47" spans="1:18" x14ac:dyDescent="0.25">
      <c r="A47" s="1"/>
      <c r="B47" s="85" t="s">
        <v>22</v>
      </c>
      <c r="C47" s="87">
        <f t="shared" ref="C47:H47" si="25">C46/C43</f>
        <v>0.11709892135449337</v>
      </c>
      <c r="D47" s="87">
        <f t="shared" si="25"/>
        <v>0.15373628338046025</v>
      </c>
      <c r="E47" s="87">
        <f t="shared" si="25"/>
        <v>5.067233954326595E-2</v>
      </c>
      <c r="F47" s="87">
        <f t="shared" si="25"/>
        <v>5.7895951137228632E-2</v>
      </c>
      <c r="G47" s="87">
        <f t="shared" si="25"/>
        <v>0.15016209838656958</v>
      </c>
      <c r="H47" s="87">
        <f t="shared" si="25"/>
        <v>0.16264912183963942</v>
      </c>
      <c r="I47" s="67">
        <v>0.18</v>
      </c>
      <c r="J47" s="81">
        <v>0.18</v>
      </c>
      <c r="K47" s="81">
        <v>0.18</v>
      </c>
      <c r="L47" s="81">
        <v>0.18</v>
      </c>
      <c r="M47" s="81">
        <v>0.18</v>
      </c>
      <c r="N47" s="81">
        <v>0.18</v>
      </c>
      <c r="O47" s="81">
        <v>0.18</v>
      </c>
      <c r="P47" s="81">
        <v>0.18</v>
      </c>
      <c r="Q47" s="81">
        <v>0.18</v>
      </c>
      <c r="R47" s="81">
        <v>0.18</v>
      </c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3"/>
      <c r="J48" s="79"/>
      <c r="K48" s="79"/>
      <c r="L48" s="79"/>
      <c r="M48" s="79"/>
      <c r="N48" s="79"/>
      <c r="O48" s="79"/>
      <c r="P48" s="79"/>
      <c r="Q48" s="79"/>
      <c r="R48" s="80"/>
    </row>
    <row r="49" spans="1:86" x14ac:dyDescent="0.25">
      <c r="A49" s="1"/>
      <c r="B49" s="10" t="s">
        <v>23</v>
      </c>
      <c r="C49" s="10">
        <v>2017</v>
      </c>
      <c r="D49" s="10">
        <v>2018</v>
      </c>
      <c r="E49" s="10">
        <v>2019</v>
      </c>
      <c r="F49" s="11">
        <v>2020</v>
      </c>
      <c r="G49" s="10">
        <v>2021</v>
      </c>
      <c r="H49" s="10">
        <v>2022</v>
      </c>
      <c r="I49" s="74">
        <v>2023</v>
      </c>
      <c r="J49" s="82">
        <v>2024</v>
      </c>
      <c r="K49" s="82">
        <v>2025</v>
      </c>
      <c r="L49" s="82">
        <v>2026</v>
      </c>
      <c r="M49" s="82">
        <v>2027</v>
      </c>
      <c r="N49" s="82">
        <v>2028</v>
      </c>
      <c r="O49" s="82">
        <v>2029</v>
      </c>
      <c r="P49" s="82">
        <v>2030</v>
      </c>
      <c r="Q49" s="82">
        <v>2031</v>
      </c>
      <c r="R49" s="82">
        <v>2032</v>
      </c>
      <c r="S49" s="10">
        <v>2033</v>
      </c>
      <c r="T49" s="10">
        <v>2034</v>
      </c>
      <c r="U49" s="10">
        <v>2035</v>
      </c>
      <c r="V49" s="10">
        <v>2036</v>
      </c>
      <c r="W49" s="10">
        <v>2037</v>
      </c>
      <c r="X49" s="10">
        <v>2038</v>
      </c>
      <c r="Y49" s="10">
        <v>2039</v>
      </c>
      <c r="Z49" s="10">
        <v>2040</v>
      </c>
      <c r="AA49" s="10">
        <v>2041</v>
      </c>
      <c r="AB49" s="10">
        <v>2042</v>
      </c>
      <c r="AC49" s="10">
        <v>2043</v>
      </c>
      <c r="AD49" s="10">
        <v>2044</v>
      </c>
      <c r="AE49" s="10">
        <v>2045</v>
      </c>
      <c r="AF49" s="10">
        <v>2046</v>
      </c>
      <c r="AG49" s="10">
        <v>2047</v>
      </c>
      <c r="AH49" s="10">
        <v>2048</v>
      </c>
      <c r="AI49" s="10">
        <v>2049</v>
      </c>
      <c r="AJ49" s="10">
        <v>2050</v>
      </c>
      <c r="AK49" s="10">
        <v>2051</v>
      </c>
      <c r="AL49" s="10">
        <v>2052</v>
      </c>
      <c r="AM49" s="10">
        <v>2053</v>
      </c>
      <c r="AN49" s="10">
        <v>2054</v>
      </c>
      <c r="AO49" s="10">
        <v>2055</v>
      </c>
      <c r="AP49" s="10">
        <v>2056</v>
      </c>
      <c r="AQ49" s="10">
        <v>2057</v>
      </c>
      <c r="AR49" s="10">
        <v>2058</v>
      </c>
      <c r="AS49" s="10">
        <v>2059</v>
      </c>
      <c r="AT49" s="10">
        <v>2060</v>
      </c>
      <c r="AU49" s="10">
        <v>2061</v>
      </c>
      <c r="AV49" s="10">
        <v>2062</v>
      </c>
      <c r="AW49" s="10">
        <v>2063</v>
      </c>
      <c r="AX49" s="10">
        <v>2064</v>
      </c>
      <c r="AY49" s="10">
        <v>2065</v>
      </c>
      <c r="AZ49" s="10">
        <v>2066</v>
      </c>
      <c r="BA49" s="10">
        <v>2067</v>
      </c>
      <c r="BB49" s="10">
        <v>2068</v>
      </c>
      <c r="BC49" s="10">
        <v>2069</v>
      </c>
      <c r="BD49" s="10">
        <v>2070</v>
      </c>
      <c r="BE49" s="10">
        <v>2071</v>
      </c>
      <c r="BF49" s="10">
        <v>2072</v>
      </c>
      <c r="BG49" s="10">
        <v>2073</v>
      </c>
      <c r="BH49" s="10">
        <v>2074</v>
      </c>
      <c r="BI49" s="10">
        <v>2075</v>
      </c>
      <c r="BJ49" s="10">
        <v>2076</v>
      </c>
      <c r="BK49" s="10">
        <v>2077</v>
      </c>
      <c r="BL49" s="10">
        <v>2078</v>
      </c>
      <c r="BM49" s="10">
        <v>2079</v>
      </c>
      <c r="BN49" s="10">
        <v>2080</v>
      </c>
      <c r="BO49" s="10">
        <v>2081</v>
      </c>
      <c r="BP49" s="10">
        <v>2082</v>
      </c>
      <c r="BQ49" s="10">
        <v>2083</v>
      </c>
      <c r="BR49" s="10">
        <v>2084</v>
      </c>
      <c r="BS49" s="10">
        <v>2085</v>
      </c>
      <c r="BT49" s="10">
        <v>2086</v>
      </c>
      <c r="BU49" s="10">
        <v>2087</v>
      </c>
      <c r="BV49" s="10">
        <v>2088</v>
      </c>
      <c r="BW49" s="10">
        <v>2089</v>
      </c>
      <c r="BX49" s="10">
        <v>2090</v>
      </c>
      <c r="BY49" s="10">
        <v>2091</v>
      </c>
      <c r="BZ49" s="10">
        <v>2092</v>
      </c>
      <c r="CA49" s="10">
        <v>2093</v>
      </c>
      <c r="CB49" s="10">
        <v>2094</v>
      </c>
      <c r="CC49" s="10">
        <v>2095</v>
      </c>
      <c r="CD49" s="10">
        <v>2096</v>
      </c>
      <c r="CE49" s="10">
        <v>2097</v>
      </c>
      <c r="CF49" s="10">
        <v>2098</v>
      </c>
      <c r="CG49" s="10">
        <v>2099</v>
      </c>
      <c r="CH49" s="10">
        <v>2100</v>
      </c>
    </row>
    <row r="50" spans="1:86" x14ac:dyDescent="0.25">
      <c r="A50" s="1"/>
      <c r="B50" s="1" t="s">
        <v>24</v>
      </c>
      <c r="C50" s="12">
        <v>99273</v>
      </c>
      <c r="D50" s="12">
        <v>129256</v>
      </c>
      <c r="E50" s="12">
        <v>159723</v>
      </c>
      <c r="F50" s="25">
        <v>209118</v>
      </c>
      <c r="G50" s="12">
        <v>282769</v>
      </c>
      <c r="H50" s="12">
        <v>234559</v>
      </c>
      <c r="I50" s="13">
        <f>I51*I11</f>
        <v>376790</v>
      </c>
      <c r="J50" s="79">
        <f>J51*J11</f>
        <v>482475</v>
      </c>
      <c r="K50" s="79">
        <f>K51*K11</f>
        <v>481268.8125</v>
      </c>
      <c r="L50" s="79">
        <f>L51*L11</f>
        <v>531928.6875</v>
      </c>
      <c r="M50" s="79">
        <f>M51*M11</f>
        <v>625548.13650000002</v>
      </c>
      <c r="N50" s="79">
        <f>N51*N11</f>
        <v>656825.54332500009</v>
      </c>
      <c r="O50" s="79">
        <f>O51*O11</f>
        <v>689666.82049125014</v>
      </c>
      <c r="P50" s="79">
        <f>P51*P11</f>
        <v>724150.16151581262</v>
      </c>
      <c r="Q50" s="79">
        <f>Q51*Q11</f>
        <v>760357.66959160333</v>
      </c>
      <c r="R50" s="79">
        <f>R51*R11</f>
        <v>798375.55307118362</v>
      </c>
    </row>
    <row r="51" spans="1:86" x14ac:dyDescent="0.25">
      <c r="A51" s="1"/>
      <c r="B51" s="85" t="s">
        <v>20</v>
      </c>
      <c r="C51" s="86">
        <f>C50/C11</f>
        <v>2.9280676310976337E-2</v>
      </c>
      <c r="D51" s="86">
        <f>D50/D11</f>
        <v>3.4518783756067546E-2</v>
      </c>
      <c r="E51" s="86">
        <f>E50/E11</f>
        <v>4.9904345552044739E-2</v>
      </c>
      <c r="F51" s="86">
        <f>F50/F11</f>
        <v>6.0151963399918594E-2</v>
      </c>
      <c r="G51" s="86">
        <f>G50/G11</f>
        <v>5.358346492219597E-2</v>
      </c>
      <c r="H51" s="86">
        <f>H50/H11</f>
        <v>3.1405977819165813E-2</v>
      </c>
      <c r="I51" s="21">
        <v>4.1000000000000002E-2</v>
      </c>
      <c r="J51" s="42">
        <v>0.05</v>
      </c>
      <c r="K51" s="42">
        <v>4.7500000000000001E-2</v>
      </c>
      <c r="L51" s="42">
        <v>0.05</v>
      </c>
      <c r="M51" s="42">
        <v>5.6000000000000001E-2</v>
      </c>
      <c r="N51" s="42">
        <v>5.6000000000000001E-2</v>
      </c>
      <c r="O51" s="42">
        <v>5.6000000000000001E-2</v>
      </c>
      <c r="P51" s="42">
        <v>5.6000000000000001E-2</v>
      </c>
      <c r="Q51" s="42">
        <v>5.6000000000000001E-2</v>
      </c>
      <c r="R51" s="42">
        <v>5.6000000000000001E-2</v>
      </c>
    </row>
    <row r="52" spans="1:86" x14ac:dyDescent="0.25">
      <c r="A52" s="1"/>
      <c r="B52" s="1"/>
      <c r="C52" s="1"/>
      <c r="D52" s="1"/>
      <c r="E52" s="1"/>
      <c r="G52" s="1"/>
      <c r="H52" s="1"/>
      <c r="I52" s="13"/>
      <c r="J52" s="79"/>
      <c r="K52" s="79"/>
      <c r="L52" s="79"/>
      <c r="M52" s="79"/>
      <c r="N52" s="79"/>
      <c r="O52" s="80"/>
      <c r="P52" s="80"/>
      <c r="Q52" s="80"/>
      <c r="R52" s="80"/>
    </row>
    <row r="53" spans="1:86" x14ac:dyDescent="0.25">
      <c r="A53" s="1"/>
      <c r="B53" s="1" t="s">
        <v>25</v>
      </c>
      <c r="C53" s="12">
        <v>-276978</v>
      </c>
      <c r="D53" s="12">
        <v>-316282</v>
      </c>
      <c r="E53" s="43">
        <v>-291182</v>
      </c>
      <c r="F53" s="25">
        <v>-334781</v>
      </c>
      <c r="G53" s="12">
        <v>-428725</v>
      </c>
      <c r="H53" s="12">
        <v>-627115</v>
      </c>
      <c r="I53" s="13">
        <f>I54*I11</f>
        <v>-1479590</v>
      </c>
      <c r="J53" s="79">
        <f>J54*J11</f>
        <v>-1206187.5</v>
      </c>
      <c r="K53" s="79">
        <f>K54*K11</f>
        <v>-1134781.2</v>
      </c>
      <c r="L53" s="79">
        <f>L54*L11</f>
        <v>-851085.9</v>
      </c>
      <c r="M53" s="79">
        <f>M54*M11</f>
        <v>-799807.97452499997</v>
      </c>
      <c r="N53" s="79">
        <f>N54*N11</f>
        <v>-821031.9291562502</v>
      </c>
      <c r="O53" s="79">
        <f>O54*O11</f>
        <v>-862083.52561406267</v>
      </c>
      <c r="P53" s="79">
        <f>P54*P11</f>
        <v>-775875.17305265635</v>
      </c>
      <c r="Q53" s="79">
        <f>Q54*Q11</f>
        <v>-814668.93170528929</v>
      </c>
      <c r="R53" s="79">
        <f>R54*R11</f>
        <v>-855402.37829055381</v>
      </c>
    </row>
    <row r="54" spans="1:86" x14ac:dyDescent="0.25">
      <c r="A54" s="1"/>
      <c r="B54" s="85" t="s">
        <v>20</v>
      </c>
      <c r="C54" s="86">
        <f>C53/C11</f>
        <v>-8.1694953947816673E-2</v>
      </c>
      <c r="D54" s="86">
        <f>D53/D11</f>
        <v>-8.4465479079783967E-2</v>
      </c>
      <c r="E54" s="86">
        <f>E53/E11</f>
        <v>-9.0977799982065774E-2</v>
      </c>
      <c r="F54" s="86">
        <f>F53/F11</f>
        <v>-9.6298427007661447E-2</v>
      </c>
      <c r="G54" s="86">
        <f>G53/G11</f>
        <v>-8.1241476253650399E-2</v>
      </c>
      <c r="H54" s="86">
        <f>H53/H11</f>
        <v>-8.3966762222153782E-2</v>
      </c>
      <c r="I54" s="21">
        <v>-0.161</v>
      </c>
      <c r="J54" s="42">
        <v>-0.125</v>
      </c>
      <c r="K54" s="42">
        <v>-0.112</v>
      </c>
      <c r="L54" s="42">
        <v>-0.08</v>
      </c>
      <c r="M54" s="42">
        <v>-7.1599999999999997E-2</v>
      </c>
      <c r="N54" s="42">
        <v>-7.0000000000000007E-2</v>
      </c>
      <c r="O54" s="42">
        <v>-7.0000000000000007E-2</v>
      </c>
      <c r="P54" s="42">
        <v>-0.06</v>
      </c>
      <c r="Q54" s="42">
        <v>-0.06</v>
      </c>
      <c r="R54" s="42">
        <v>-0.06</v>
      </c>
    </row>
    <row r="55" spans="1:86" x14ac:dyDescent="0.25">
      <c r="A55" s="1"/>
      <c r="B55" s="1"/>
      <c r="C55" s="1"/>
      <c r="D55" s="1"/>
      <c r="E55" s="1"/>
      <c r="G55" s="1"/>
      <c r="H55" s="1"/>
      <c r="I55" s="13"/>
      <c r="J55" s="79"/>
      <c r="K55" s="79"/>
      <c r="L55" s="79"/>
      <c r="M55" s="79"/>
      <c r="N55" s="79"/>
      <c r="O55" s="80"/>
      <c r="P55" s="80"/>
      <c r="Q55" s="80"/>
      <c r="R55" s="80"/>
    </row>
    <row r="56" spans="1:86" x14ac:dyDescent="0.25">
      <c r="A56" s="1"/>
      <c r="B56" s="1" t="s">
        <v>26</v>
      </c>
      <c r="C56" s="1">
        <v>-38146</v>
      </c>
      <c r="D56" s="1">
        <v>-147959</v>
      </c>
      <c r="E56" s="1">
        <v>188979</v>
      </c>
      <c r="F56" s="2">
        <v>-505932</v>
      </c>
      <c r="G56" s="1">
        <v>-787473</v>
      </c>
      <c r="H56" s="1">
        <v>236359</v>
      </c>
      <c r="I56" s="13">
        <f>I57*I11</f>
        <v>-551400</v>
      </c>
      <c r="J56" s="79">
        <f>J57*J11</f>
        <v>-289485</v>
      </c>
      <c r="K56" s="79">
        <f>K57*K11</f>
        <v>-101319.75</v>
      </c>
      <c r="L56" s="79">
        <f>L57*L11</f>
        <v>-106385.7375</v>
      </c>
      <c r="M56" s="79">
        <f>M57*M11</f>
        <v>-111705.02437500001</v>
      </c>
      <c r="N56" s="79">
        <f>N57*N11</f>
        <v>-117290.27559375002</v>
      </c>
      <c r="O56" s="79">
        <f>O57*O11</f>
        <v>-123154.78937343752</v>
      </c>
      <c r="P56" s="79">
        <f>P57*P11</f>
        <v>-129312.5288421094</v>
      </c>
      <c r="Q56" s="79">
        <f>Q57*Q11</f>
        <v>-135778.15528421488</v>
      </c>
      <c r="R56" s="79">
        <f>R57*R11</f>
        <v>-142567.06304842563</v>
      </c>
    </row>
    <row r="57" spans="1:86" x14ac:dyDescent="0.25">
      <c r="A57" s="1"/>
      <c r="B57" s="85" t="s">
        <v>20</v>
      </c>
      <c r="C57" s="86">
        <f>C56/C11</f>
        <v>-1.1251203031624947E-2</v>
      </c>
      <c r="D57" s="86">
        <f>D56/D11</f>
        <v>-3.9513560111437751E-2</v>
      </c>
      <c r="E57" s="86">
        <f>E56/E11</f>
        <v>5.9045180206231181E-2</v>
      </c>
      <c r="F57" s="86">
        <f>F56/F11</f>
        <v>-0.14552933342346241</v>
      </c>
      <c r="G57" s="86">
        <f>G56/G11</f>
        <v>-0.14922262296318348</v>
      </c>
      <c r="H57" s="86">
        <f>H56/H11</f>
        <v>3.1646986520918886E-2</v>
      </c>
      <c r="I57" s="50">
        <v>-0.06</v>
      </c>
      <c r="J57" s="83">
        <v>-0.03</v>
      </c>
      <c r="K57" s="83">
        <v>-0.01</v>
      </c>
      <c r="L57" s="83">
        <v>-0.01</v>
      </c>
      <c r="M57" s="83">
        <v>-0.01</v>
      </c>
      <c r="N57" s="83">
        <v>-0.01</v>
      </c>
      <c r="O57" s="83">
        <v>-0.01</v>
      </c>
      <c r="P57" s="83">
        <v>-0.01</v>
      </c>
      <c r="Q57" s="83">
        <v>-0.01</v>
      </c>
      <c r="R57" s="83">
        <v>-0.01</v>
      </c>
    </row>
    <row r="58" spans="1:86" x14ac:dyDescent="0.25">
      <c r="A58" s="1"/>
      <c r="B58" s="1"/>
      <c r="C58" s="1"/>
      <c r="D58" s="1"/>
      <c r="E58" s="1"/>
      <c r="F58" s="1"/>
      <c r="G58" s="1"/>
      <c r="H58" s="1"/>
      <c r="I58" s="13"/>
      <c r="J58" s="79"/>
      <c r="K58" s="79"/>
      <c r="L58" s="79"/>
      <c r="M58" s="79"/>
      <c r="N58" s="79"/>
      <c r="O58" s="79"/>
      <c r="P58" s="79"/>
      <c r="Q58" s="79"/>
      <c r="R58" s="80"/>
    </row>
    <row r="59" spans="1:86" x14ac:dyDescent="0.25">
      <c r="A59" s="1"/>
      <c r="B59" s="10" t="s">
        <v>27</v>
      </c>
      <c r="C59" s="12">
        <f>C43-C46</f>
        <v>237804.9233790891</v>
      </c>
      <c r="D59" s="12">
        <f>D43-D46</f>
        <v>308595.92266842781</v>
      </c>
      <c r="E59" s="12">
        <f>E43-E46</f>
        <v>245760.9094452479</v>
      </c>
      <c r="F59" s="12">
        <f>F43-F46</f>
        <v>207667.92211580917</v>
      </c>
      <c r="G59" s="12">
        <f>G43-G46</f>
        <v>161792.9303890022</v>
      </c>
      <c r="H59" s="12">
        <f>H43-H46</f>
        <v>298147.94484234683</v>
      </c>
      <c r="I59" s="40">
        <f>I43-I46</f>
        <v>400346.73126675654</v>
      </c>
      <c r="J59" s="78">
        <f>J43-J46</f>
        <v>361019.64049309434</v>
      </c>
      <c r="K59" s="78">
        <f>K43-K46</f>
        <v>300142.53269624908</v>
      </c>
      <c r="L59" s="78">
        <f>L43-L46</f>
        <v>323873.29255306139</v>
      </c>
      <c r="M59" s="78">
        <f>M43-M46</f>
        <v>294267.89501396473</v>
      </c>
      <c r="N59" s="78">
        <f>N43-N46</f>
        <v>318599.09535635047</v>
      </c>
      <c r="O59" s="78">
        <f>O43-O46</f>
        <v>324430.36038854608</v>
      </c>
      <c r="P59" s="78">
        <f>P43-P46</f>
        <v>351255.50876602624</v>
      </c>
      <c r="Q59" s="78">
        <f>Q43-Q46</f>
        <v>379952.09593063319</v>
      </c>
      <c r="R59" s="78">
        <f>R43-R46</f>
        <v>410640.20289013616</v>
      </c>
    </row>
    <row r="60" spans="1:86" x14ac:dyDescent="0.25">
      <c r="A60" s="1"/>
      <c r="B60" s="10" t="s">
        <v>58</v>
      </c>
      <c r="C60" s="12"/>
      <c r="D60" s="12"/>
      <c r="E60" s="12"/>
      <c r="F60" s="12">
        <v>543</v>
      </c>
      <c r="G60" s="12">
        <v>14628</v>
      </c>
      <c r="H60" s="12">
        <v>58587</v>
      </c>
      <c r="I60" s="40"/>
      <c r="J60" s="78"/>
      <c r="K60" s="78"/>
      <c r="L60" s="78"/>
      <c r="M60" s="78"/>
      <c r="N60" s="78"/>
      <c r="O60" s="78"/>
      <c r="P60" s="78"/>
      <c r="Q60" s="78"/>
      <c r="R60" s="78"/>
    </row>
    <row r="61" spans="1:86" x14ac:dyDescent="0.25">
      <c r="A61" s="1"/>
      <c r="B61" s="10" t="s">
        <v>28</v>
      </c>
      <c r="C61" s="12">
        <f>C41-C46</f>
        <v>102982.9233790891</v>
      </c>
      <c r="D61" s="12">
        <f>D41-D46</f>
        <v>242430.92266842781</v>
      </c>
      <c r="E61" s="12">
        <f>E41-E46</f>
        <v>166554.9094452479</v>
      </c>
      <c r="F61" s="12">
        <f t="shared" ref="F61:G61" si="26">F41-F46-F60</f>
        <v>121178.92211580917</v>
      </c>
      <c r="G61" s="12">
        <f t="shared" si="26"/>
        <v>95247.930389002198</v>
      </c>
      <c r="H61" s="12">
        <f>H41-H46-H60</f>
        <v>239967.94484234683</v>
      </c>
      <c r="I61" s="40">
        <f>I41-I46</f>
        <v>354396.73126675654</v>
      </c>
      <c r="J61" s="78">
        <f>J41-J46</f>
        <v>312772.14049309434</v>
      </c>
      <c r="K61" s="78">
        <f>K41-K46</f>
        <v>249482.65769624905</v>
      </c>
      <c r="L61" s="78">
        <f>L41-L46</f>
        <v>270680.42380306136</v>
      </c>
      <c r="M61" s="78">
        <f>M41-M46</f>
        <v>238415.38282646475</v>
      </c>
      <c r="N61" s="78">
        <f>N41-N46</f>
        <v>259953.95755947544</v>
      </c>
      <c r="O61" s="78">
        <f>O41-O46</f>
        <v>262852.96570182731</v>
      </c>
      <c r="P61" s="78">
        <f>P41-P46</f>
        <v>286599.24434497155</v>
      </c>
      <c r="Q61" s="78">
        <f>Q41-Q46</f>
        <v>312063.01828852575</v>
      </c>
      <c r="R61" s="78">
        <f>R41-R46</f>
        <v>339356.67136592336</v>
      </c>
      <c r="S61" s="53">
        <f>R61*(1+$E$6)</f>
        <v>349537.37150690105</v>
      </c>
      <c r="T61" s="53">
        <f t="shared" ref="T61:CE61" si="27">S61*(1+$E$6)</f>
        <v>360023.49265210808</v>
      </c>
      <c r="U61" s="53">
        <f t="shared" si="27"/>
        <v>370824.19743167132</v>
      </c>
      <c r="V61" s="53">
        <f t="shared" si="27"/>
        <v>381948.92335462145</v>
      </c>
      <c r="W61" s="53">
        <f t="shared" si="27"/>
        <v>393407.39105526009</v>
      </c>
      <c r="X61" s="53">
        <f t="shared" si="27"/>
        <v>405209.61278691789</v>
      </c>
      <c r="Y61" s="53">
        <f t="shared" si="27"/>
        <v>417365.90117052541</v>
      </c>
      <c r="Z61" s="53">
        <f t="shared" si="27"/>
        <v>429886.87820564117</v>
      </c>
      <c r="AA61" s="53">
        <f t="shared" si="27"/>
        <v>442783.48455181043</v>
      </c>
      <c r="AB61" s="53">
        <f t="shared" si="27"/>
        <v>456066.98908836476</v>
      </c>
      <c r="AC61" s="53">
        <f t="shared" si="27"/>
        <v>469748.99876101571</v>
      </c>
      <c r="AD61" s="53">
        <f t="shared" si="27"/>
        <v>483841.46872384619</v>
      </c>
      <c r="AE61" s="53">
        <f t="shared" si="27"/>
        <v>498356.71278556157</v>
      </c>
      <c r="AF61" s="53">
        <f t="shared" si="27"/>
        <v>513307.4141691284</v>
      </c>
      <c r="AG61" s="53">
        <f t="shared" si="27"/>
        <v>528706.63659420225</v>
      </c>
      <c r="AH61" s="53">
        <f t="shared" si="27"/>
        <v>544567.83569202828</v>
      </c>
      <c r="AI61" s="53">
        <f t="shared" si="27"/>
        <v>560904.87076278916</v>
      </c>
      <c r="AJ61" s="53">
        <f t="shared" si="27"/>
        <v>577732.01688567281</v>
      </c>
      <c r="AK61" s="53">
        <f t="shared" si="27"/>
        <v>595063.97739224299</v>
      </c>
      <c r="AL61" s="53">
        <f t="shared" si="27"/>
        <v>612915.89671401028</v>
      </c>
      <c r="AM61" s="53">
        <f t="shared" si="27"/>
        <v>631303.37361543055</v>
      </c>
      <c r="AN61" s="53">
        <f t="shared" si="27"/>
        <v>650242.47482389351</v>
      </c>
      <c r="AO61" s="53">
        <f t="shared" si="27"/>
        <v>669749.74906861037</v>
      </c>
      <c r="AP61" s="53">
        <f t="shared" si="27"/>
        <v>689842.24154066865</v>
      </c>
      <c r="AQ61" s="53">
        <f t="shared" si="27"/>
        <v>710537.50878688868</v>
      </c>
      <c r="AR61" s="53">
        <f t="shared" si="27"/>
        <v>731853.63405049534</v>
      </c>
      <c r="AS61" s="53">
        <f t="shared" si="27"/>
        <v>753809.24307201023</v>
      </c>
      <c r="AT61" s="53">
        <f t="shared" si="27"/>
        <v>776423.52036417054</v>
      </c>
      <c r="AU61" s="53">
        <f t="shared" si="27"/>
        <v>799716.22597509564</v>
      </c>
      <c r="AV61" s="53">
        <f t="shared" si="27"/>
        <v>823707.71275434853</v>
      </c>
      <c r="AW61" s="53">
        <f t="shared" si="27"/>
        <v>848418.94413697906</v>
      </c>
      <c r="AX61" s="53">
        <f t="shared" si="27"/>
        <v>873871.51246108848</v>
      </c>
      <c r="AY61" s="53">
        <f t="shared" si="27"/>
        <v>900087.65783492115</v>
      </c>
      <c r="AZ61" s="53">
        <f t="shared" si="27"/>
        <v>927090.28756996884</v>
      </c>
      <c r="BA61" s="53">
        <f t="shared" si="27"/>
        <v>954902.9961970679</v>
      </c>
      <c r="BB61" s="53">
        <f t="shared" si="27"/>
        <v>983550.08608297992</v>
      </c>
      <c r="BC61" s="53">
        <f t="shared" si="27"/>
        <v>1013056.5886654693</v>
      </c>
      <c r="BD61" s="53">
        <f t="shared" si="27"/>
        <v>1043448.2863254334</v>
      </c>
      <c r="BE61" s="53">
        <f t="shared" si="27"/>
        <v>1074751.7349151964</v>
      </c>
      <c r="BF61" s="53">
        <f t="shared" si="27"/>
        <v>1106994.2869626523</v>
      </c>
      <c r="BG61" s="53">
        <f t="shared" si="27"/>
        <v>1140204.1155715319</v>
      </c>
      <c r="BH61" s="53">
        <f t="shared" si="27"/>
        <v>1174410.2390386779</v>
      </c>
      <c r="BI61" s="53">
        <f t="shared" si="27"/>
        <v>1209642.5462098382</v>
      </c>
      <c r="BJ61" s="53">
        <f t="shared" si="27"/>
        <v>1245931.8225961335</v>
      </c>
      <c r="BK61" s="53">
        <f t="shared" si="27"/>
        <v>1283309.7772740175</v>
      </c>
      <c r="BL61" s="53">
        <f t="shared" si="27"/>
        <v>1321809.0705922381</v>
      </c>
      <c r="BM61" s="53">
        <f t="shared" si="27"/>
        <v>1361463.3427100054</v>
      </c>
      <c r="BN61" s="53">
        <f t="shared" si="27"/>
        <v>1402307.2429913057</v>
      </c>
      <c r="BO61" s="53">
        <f t="shared" si="27"/>
        <v>1444376.4602810449</v>
      </c>
      <c r="BP61" s="53">
        <f t="shared" si="27"/>
        <v>1487707.7540894763</v>
      </c>
      <c r="BQ61" s="53">
        <f t="shared" si="27"/>
        <v>1532338.9867121608</v>
      </c>
      <c r="BR61" s="53">
        <f t="shared" si="27"/>
        <v>1578309.1563135255</v>
      </c>
      <c r="BS61" s="53">
        <f t="shared" si="27"/>
        <v>1625658.4310029314</v>
      </c>
      <c r="BT61" s="53">
        <f t="shared" si="27"/>
        <v>1674428.1839330194</v>
      </c>
      <c r="BU61" s="53">
        <f t="shared" si="27"/>
        <v>1724661.0294510101</v>
      </c>
      <c r="BV61" s="53">
        <f t="shared" si="27"/>
        <v>1776400.8603345405</v>
      </c>
      <c r="BW61" s="53">
        <f t="shared" si="27"/>
        <v>1829692.8861445768</v>
      </c>
      <c r="BX61" s="53">
        <f t="shared" si="27"/>
        <v>1884583.6727289141</v>
      </c>
      <c r="BY61" s="53">
        <f t="shared" si="27"/>
        <v>1941121.1829107816</v>
      </c>
      <c r="BZ61" s="53">
        <f t="shared" si="27"/>
        <v>1999354.818398105</v>
      </c>
      <c r="CA61" s="53">
        <f t="shared" si="27"/>
        <v>2059335.4629500483</v>
      </c>
      <c r="CB61" s="53">
        <f t="shared" si="27"/>
        <v>2121115.5268385499</v>
      </c>
      <c r="CC61" s="53">
        <f t="shared" si="27"/>
        <v>2184748.9926437065</v>
      </c>
      <c r="CD61" s="53">
        <f t="shared" si="27"/>
        <v>2250291.4624230177</v>
      </c>
      <c r="CE61" s="53">
        <f t="shared" si="27"/>
        <v>2317800.2062957082</v>
      </c>
      <c r="CF61" s="53">
        <f t="shared" ref="CF61:CH61" si="28">CE61*(1+$E$6)</f>
        <v>2387334.2124845795</v>
      </c>
      <c r="CG61" s="53">
        <f t="shared" si="28"/>
        <v>2458954.238859117</v>
      </c>
      <c r="CH61" s="53">
        <f t="shared" si="28"/>
        <v>2532722.8660248904</v>
      </c>
    </row>
    <row r="62" spans="1:86" x14ac:dyDescent="0.25">
      <c r="A62" s="1"/>
      <c r="B62" s="6"/>
      <c r="C62" s="12"/>
      <c r="D62" s="12"/>
      <c r="E62" s="12"/>
      <c r="F62" s="12"/>
      <c r="G62" s="12"/>
      <c r="H62" s="12"/>
      <c r="I62" s="13"/>
      <c r="J62" s="79"/>
      <c r="K62" s="79"/>
      <c r="L62" s="79"/>
      <c r="M62" s="79"/>
      <c r="N62" s="79"/>
      <c r="O62" s="79"/>
      <c r="P62" s="79"/>
      <c r="Q62" s="79"/>
      <c r="R62" s="80"/>
    </row>
    <row r="63" spans="1:86" x14ac:dyDescent="0.25">
      <c r="A63" s="1"/>
      <c r="B63" s="10" t="s">
        <v>29</v>
      </c>
      <c r="C63" s="49">
        <f>C59+C50+C53-C56</f>
        <v>98245.923379089101</v>
      </c>
      <c r="D63" s="49">
        <f>D59+D50+D53-D56</f>
        <v>269528.92266842781</v>
      </c>
      <c r="E63" s="49">
        <f>E59+E50+E53-E56</f>
        <v>-74677.090554752096</v>
      </c>
      <c r="F63" s="49">
        <f>F59+F50+F53-F56</f>
        <v>587936.92211580917</v>
      </c>
      <c r="G63" s="49">
        <f>G59+G50+G53-G56</f>
        <v>803309.9303890022</v>
      </c>
      <c r="H63" s="71">
        <f>H59+H50+H53-H56</f>
        <v>-330767.05515765317</v>
      </c>
      <c r="I63" s="84">
        <f>I59+I50+I53-I56</f>
        <v>-151053.26873324346</v>
      </c>
      <c r="J63" s="71">
        <f>J59+J50+J53-J56</f>
        <v>-73207.859506905661</v>
      </c>
      <c r="K63" s="71">
        <f>K59+K50+K53-K56</f>
        <v>-252050.10480375087</v>
      </c>
      <c r="L63" s="71">
        <f>L59+L50+L53-L56</f>
        <v>111101.81755306137</v>
      </c>
      <c r="M63" s="71">
        <f>M59+M50+M53-M56</f>
        <v>231713.0813639648</v>
      </c>
      <c r="N63" s="71">
        <f>N59+N50+N53-N56</f>
        <v>271682.98511885031</v>
      </c>
      <c r="O63" s="71">
        <f>O59+O50+O53-O56</f>
        <v>275168.44463917101</v>
      </c>
      <c r="P63" s="71">
        <f>P59+P50+P53-P56</f>
        <v>428843.02607129188</v>
      </c>
      <c r="Q63" s="71">
        <f>Q59+Q50+Q53-Q56</f>
        <v>461418.98910116206</v>
      </c>
      <c r="R63" s="71">
        <f>R59+R50+R53-R56</f>
        <v>496180.44071919168</v>
      </c>
    </row>
    <row r="64" spans="1:86" x14ac:dyDescent="0.25">
      <c r="A64" s="1"/>
      <c r="B64" s="26" t="s">
        <v>30</v>
      </c>
      <c r="C64" s="1"/>
      <c r="D64" s="1"/>
      <c r="E64" s="1"/>
      <c r="F64" s="1"/>
      <c r="G64" s="1"/>
      <c r="H64" s="1"/>
      <c r="I64" s="73">
        <f>I63/((1+$E$5)^I9)</f>
        <v>-137463.6417663231</v>
      </c>
      <c r="J64" s="19">
        <f>J63/((1+$E$5)^J9)</f>
        <v>-60627.986349417879</v>
      </c>
      <c r="K64" s="19">
        <f>K63/((1+$E$5)^K9)</f>
        <v>-189959.07024359709</v>
      </c>
      <c r="L64" s="19">
        <f>L63/((1+$E$5)^L9)</f>
        <v>76199.484678854496</v>
      </c>
      <c r="M64" s="19">
        <f>M63/((1+$E$5)^M9)</f>
        <v>144623.59096544559</v>
      </c>
      <c r="N64" s="19">
        <f>N63/((1+$E$5)^N9)</f>
        <v>154315.21427043391</v>
      </c>
      <c r="O64" s="19">
        <f>O63/((1+$E$5)^O9)</f>
        <v>142233.74740837692</v>
      </c>
      <c r="P64" s="19">
        <f>P63/((1+$E$5)^P9)</f>
        <v>201725.1713128282</v>
      </c>
      <c r="Q64" s="19">
        <f>Q63/((1+$E$5)^Q9)</f>
        <v>197521.74881120029</v>
      </c>
      <c r="R64" s="19">
        <f>R63/((1+$E$5)^R9)</f>
        <v>193293.30722445514</v>
      </c>
    </row>
    <row r="65" spans="1:18" x14ac:dyDescent="0.25">
      <c r="A65" s="1"/>
      <c r="B65" s="27"/>
      <c r="C65" s="70"/>
      <c r="D65" s="70"/>
      <c r="E65" s="70"/>
      <c r="F65" s="70"/>
      <c r="G65" s="70"/>
      <c r="H65" s="70"/>
      <c r="I65" s="75"/>
      <c r="J65" s="70"/>
      <c r="K65" s="70"/>
      <c r="L65" s="70"/>
      <c r="M65" s="70"/>
      <c r="N65" s="70"/>
      <c r="O65" s="70"/>
      <c r="P65" s="70"/>
      <c r="Q65" s="70"/>
      <c r="R65" s="70"/>
    </row>
    <row r="66" spans="1:18" x14ac:dyDescent="0.25">
      <c r="A66" s="1"/>
      <c r="B66" s="1" t="s">
        <v>31</v>
      </c>
      <c r="C66" s="28">
        <f>(R63*(1+$E$6))/($E$5-$E$6)</f>
        <v>7421832.7218571734</v>
      </c>
      <c r="D66" s="1"/>
      <c r="E66" s="1" t="s">
        <v>32</v>
      </c>
      <c r="F66" s="19">
        <f>NPV($E$5,I61:CH61)</f>
        <v>3741323.7317331228</v>
      </c>
      <c r="G66" s="1"/>
      <c r="H66" s="1"/>
      <c r="I66" s="13"/>
      <c r="J66" s="1"/>
      <c r="K66" s="1"/>
      <c r="L66" s="1"/>
      <c r="M66" s="1"/>
      <c r="N66" s="1"/>
      <c r="O66" s="1"/>
      <c r="P66" s="1"/>
      <c r="Q66" s="1"/>
    </row>
    <row r="67" spans="1:18" x14ac:dyDescent="0.25">
      <c r="A67" s="1"/>
      <c r="B67" s="3" t="s">
        <v>33</v>
      </c>
      <c r="C67" s="29">
        <f>C66/((1+$E$5)^$R$9)</f>
        <v>2891267.9234092277</v>
      </c>
      <c r="D67" s="17"/>
      <c r="E67" s="3"/>
      <c r="F67" s="3"/>
      <c r="G67" s="3"/>
      <c r="H67" s="17"/>
      <c r="I67" s="13"/>
      <c r="Q67" s="79"/>
      <c r="R67" s="80"/>
    </row>
    <row r="68" spans="1:18" x14ac:dyDescent="0.25">
      <c r="A68" s="1"/>
      <c r="B68" s="6" t="s">
        <v>34</v>
      </c>
      <c r="C68" s="6"/>
      <c r="D68" s="1"/>
      <c r="E68" s="6"/>
      <c r="F68" s="6"/>
      <c r="G68" s="30" t="s">
        <v>35</v>
      </c>
      <c r="H68" s="30" t="s">
        <v>32</v>
      </c>
      <c r="I68" s="16"/>
      <c r="L68" s="88" t="s">
        <v>59</v>
      </c>
      <c r="M68" s="89"/>
      <c r="N68" s="89"/>
      <c r="O68" s="89"/>
      <c r="P68" s="89"/>
      <c r="Q68" s="88"/>
    </row>
    <row r="69" spans="1:18" x14ac:dyDescent="0.25">
      <c r="A69" s="1"/>
      <c r="B69" s="31" t="s">
        <v>36</v>
      </c>
      <c r="C69" s="1"/>
      <c r="D69" s="43">
        <f>981434+978116</f>
        <v>1959550</v>
      </c>
      <c r="E69" s="1"/>
      <c r="F69" s="1"/>
      <c r="G69" s="28">
        <f>C67+SUM(I64:R64)</f>
        <v>3613129.489721484</v>
      </c>
      <c r="H69" s="19">
        <f>F66</f>
        <v>3741323.7317331228</v>
      </c>
      <c r="I69" s="16"/>
      <c r="K69" s="88"/>
      <c r="L69" s="90">
        <f>E74</f>
        <v>65.001039216044191</v>
      </c>
      <c r="M69" s="91">
        <v>-0.03</v>
      </c>
      <c r="N69" s="91">
        <v>0.01</v>
      </c>
      <c r="O69" s="91">
        <v>0.03</v>
      </c>
      <c r="P69" s="91">
        <v>0.05</v>
      </c>
      <c r="Q69" s="91">
        <v>7.0000000000000007E-2</v>
      </c>
    </row>
    <row r="70" spans="1:18" x14ac:dyDescent="0.25">
      <c r="A70" s="1"/>
      <c r="B70" s="32" t="s">
        <v>37</v>
      </c>
      <c r="C70" s="3"/>
      <c r="D70" s="51">
        <v>1443816</v>
      </c>
      <c r="E70" s="3"/>
      <c r="F70" s="3"/>
      <c r="G70" s="3"/>
      <c r="H70" s="3"/>
      <c r="I70" s="16"/>
      <c r="K70" s="88"/>
      <c r="L70" s="92">
        <f>L71-2%</f>
        <v>5.8859791522340166E-2</v>
      </c>
      <c r="M70" s="93">
        <f t="dataTable" ref="M70:Q74" dt2D="1" dtr="1" r1="E6" r2="E5"/>
        <v>72.543761211211461</v>
      </c>
      <c r="N70" s="93">
        <v>107.01093715812792</v>
      </c>
      <c r="O70" s="93">
        <v>155.05385805202292</v>
      </c>
      <c r="P70" s="93">
        <v>366.53738604068883</v>
      </c>
      <c r="Q70" s="93">
        <v>-27.881716658480144</v>
      </c>
    </row>
    <row r="71" spans="1:18" x14ac:dyDescent="0.25">
      <c r="A71" s="1"/>
      <c r="B71" s="6" t="s">
        <v>38</v>
      </c>
      <c r="C71" s="6"/>
      <c r="D71" s="6"/>
      <c r="E71" s="6"/>
      <c r="F71" s="6"/>
      <c r="G71" s="33">
        <f>G69+D69-D70</f>
        <v>4128863.4897214845</v>
      </c>
      <c r="H71" s="34">
        <f>H69+D69-D70</f>
        <v>4257057.7317331228</v>
      </c>
      <c r="I71" s="16"/>
      <c r="K71" s="89"/>
      <c r="L71" s="92">
        <f>L72-2%</f>
        <v>7.885979152234017E-2</v>
      </c>
      <c r="M71" s="93">
        <v>56.865075400339492</v>
      </c>
      <c r="N71" s="94">
        <v>74.122592695075042</v>
      </c>
      <c r="O71" s="94">
        <v>92.658625330517651</v>
      </c>
      <c r="P71" s="94">
        <v>133.0724389473138</v>
      </c>
      <c r="Q71" s="93">
        <v>311.11613700328775</v>
      </c>
    </row>
    <row r="72" spans="1:18" x14ac:dyDescent="0.25">
      <c r="A72" s="1"/>
      <c r="B72" s="3" t="s">
        <v>39</v>
      </c>
      <c r="C72" s="3"/>
      <c r="D72" s="43">
        <f>64506055/1000</f>
        <v>64506.055</v>
      </c>
      <c r="E72" s="3"/>
      <c r="F72" s="3"/>
      <c r="G72" s="3"/>
      <c r="H72" s="35"/>
      <c r="I72" s="16"/>
      <c r="K72" s="88" t="s">
        <v>1</v>
      </c>
      <c r="L72" s="95">
        <v>9.8859791522340174E-2</v>
      </c>
      <c r="M72" s="93">
        <v>46.440901289736118</v>
      </c>
      <c r="N72" s="94">
        <v>56.089659450531869</v>
      </c>
      <c r="O72" s="96">
        <v>65.001039216044191</v>
      </c>
      <c r="P72" s="94">
        <v>80.670334512687845</v>
      </c>
      <c r="Q72" s="93">
        <v>114.77296696730997</v>
      </c>
    </row>
    <row r="73" spans="1:18" x14ac:dyDescent="0.25">
      <c r="A73" s="1"/>
      <c r="B73" s="18" t="s">
        <v>40</v>
      </c>
      <c r="C73" s="18"/>
      <c r="D73" s="66">
        <f>D72*$J$5</f>
        <v>2326733.4038499999</v>
      </c>
      <c r="E73" s="18"/>
      <c r="F73" s="18"/>
      <c r="G73" s="18"/>
      <c r="H73" s="36"/>
      <c r="I73" s="1"/>
      <c r="K73" s="88"/>
      <c r="L73" s="97">
        <f>L72+2%</f>
        <v>0.11885979152234018</v>
      </c>
      <c r="M73" s="93">
        <v>39.113253448861947</v>
      </c>
      <c r="N73" s="94">
        <v>44.924003177726121</v>
      </c>
      <c r="O73" s="94">
        <v>49.769009462561883</v>
      </c>
      <c r="P73" s="94">
        <v>57.335021421893728</v>
      </c>
      <c r="Q73" s="93">
        <v>70.619971677343415</v>
      </c>
    </row>
    <row r="74" spans="1:18" x14ac:dyDescent="0.25">
      <c r="A74" s="1"/>
      <c r="B74" s="6" t="s">
        <v>41</v>
      </c>
      <c r="D74" s="6" t="s">
        <v>42</v>
      </c>
      <c r="E74" s="6">
        <f>(G74+H74)/2</f>
        <v>65.001039216044191</v>
      </c>
      <c r="F74" s="6"/>
      <c r="G74" s="37">
        <f>G71/D72</f>
        <v>64.007378682845882</v>
      </c>
      <c r="H74" s="38">
        <f>H71/D72</f>
        <v>65.9946997492425</v>
      </c>
      <c r="I74" s="16"/>
      <c r="J74" s="1"/>
      <c r="K74" s="88"/>
      <c r="L74" s="97">
        <f>L73+2%</f>
        <v>0.13885979152234018</v>
      </c>
      <c r="M74" s="93">
        <v>33.746344201495837</v>
      </c>
      <c r="N74" s="93">
        <v>37.439011976677705</v>
      </c>
      <c r="O74" s="93">
        <v>40.298447984878635</v>
      </c>
      <c r="P74" s="93">
        <v>44.426876005261491</v>
      </c>
      <c r="Q74" s="93">
        <v>50.868821543210942</v>
      </c>
    </row>
    <row r="75" spans="1:18" x14ac:dyDescent="0.25">
      <c r="B75" s="39"/>
      <c r="C75" s="39"/>
      <c r="D75" s="39"/>
      <c r="E75" s="39"/>
      <c r="F75" s="39"/>
      <c r="G75" s="39"/>
      <c r="H75" s="39"/>
      <c r="I75" s="24"/>
    </row>
    <row r="76" spans="1:18" x14ac:dyDescent="0.25">
      <c r="A76" s="1"/>
      <c r="B76" s="6"/>
      <c r="C76" s="6"/>
      <c r="D76" s="6"/>
      <c r="F76" s="6"/>
      <c r="G76" s="37"/>
      <c r="H76" s="38"/>
      <c r="I76" s="1"/>
      <c r="J76" s="1"/>
      <c r="K76" s="1"/>
      <c r="L76" s="1"/>
      <c r="M76" s="1"/>
      <c r="N76" s="1"/>
      <c r="O76" s="1"/>
      <c r="P76" s="1"/>
      <c r="Q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38F9-BA63-4D18-9F48-1AB06BDF0DAF}">
  <dimension ref="A1:L15"/>
  <sheetViews>
    <sheetView workbookViewId="0">
      <selection activeCell="D10" sqref="D10"/>
    </sheetView>
  </sheetViews>
  <sheetFormatPr defaultRowHeight="15" x14ac:dyDescent="0.25"/>
  <cols>
    <col min="3" max="3" width="14.57031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54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2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2"/>
    </row>
    <row r="4" spans="1:12" x14ac:dyDescent="0.25">
      <c r="A4" s="56" t="s">
        <v>47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48</v>
      </c>
      <c r="C6" s="2"/>
      <c r="D6" s="57">
        <f>'CSIQ DCF'!I47</f>
        <v>0.18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49</v>
      </c>
      <c r="C7" s="2"/>
      <c r="D7" s="57">
        <v>5.0999999999999997E-2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50</v>
      </c>
      <c r="C8" s="2"/>
      <c r="D8" s="58">
        <v>1.46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51</v>
      </c>
      <c r="C9" s="2"/>
      <c r="D9" s="57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38</v>
      </c>
      <c r="B12" s="2"/>
      <c r="C12" s="25">
        <f>'CSIQ DCF'!D73</f>
        <v>2326733.4038499999</v>
      </c>
      <c r="D12" s="2"/>
      <c r="E12" s="2" t="s">
        <v>37</v>
      </c>
      <c r="F12" s="2"/>
      <c r="G12" s="25">
        <f>'CSIQ DCF'!D70</f>
        <v>1443816</v>
      </c>
      <c r="H12" s="2"/>
      <c r="I12" s="2" t="s">
        <v>52</v>
      </c>
      <c r="J12" s="2"/>
      <c r="K12" s="25">
        <f>G12+C12</f>
        <v>3770549.4038499999</v>
      </c>
      <c r="L12" s="2"/>
    </row>
    <row r="13" spans="1:12" x14ac:dyDescent="0.25">
      <c r="A13" s="2" t="s">
        <v>53</v>
      </c>
      <c r="B13" s="2"/>
      <c r="C13" s="59">
        <f>C12/K12</f>
        <v>0.61708073668899266</v>
      </c>
      <c r="D13" s="2"/>
      <c r="E13" s="2" t="s">
        <v>54</v>
      </c>
      <c r="F13" s="2"/>
      <c r="G13" s="60">
        <f>G12/K12</f>
        <v>0.3829192633110074</v>
      </c>
      <c r="H13" s="2"/>
      <c r="I13" s="2"/>
      <c r="J13" s="2"/>
      <c r="K13" s="2"/>
      <c r="L13" s="2"/>
    </row>
    <row r="14" spans="1:12" x14ac:dyDescent="0.25">
      <c r="A14" s="2" t="s">
        <v>55</v>
      </c>
      <c r="B14" s="2"/>
      <c r="C14" s="61">
        <f>D7+D8*(D9)</f>
        <v>0.1167</v>
      </c>
      <c r="D14" s="2"/>
      <c r="E14" s="2" t="s">
        <v>56</v>
      </c>
      <c r="F14" s="2"/>
      <c r="G14" s="62">
        <v>8.5500000000000007E-2</v>
      </c>
      <c r="H14" s="2"/>
      <c r="I14" s="63" t="s">
        <v>1</v>
      </c>
      <c r="J14" s="64"/>
      <c r="K14" s="65">
        <f>C13*C14+G14*G13*(1-D6)</f>
        <v>9.8859791522340174E-2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CSIQ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2023-05-02T20:26:00Z</dcterms:created>
  <dcterms:modified xsi:type="dcterms:W3CDTF">2023-05-07T11:04:17Z</dcterms:modified>
</cp:coreProperties>
</file>