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112A0C47-1F74-453E-A106-921171E69FE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U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11" i="1"/>
  <c r="L11" i="1" s="1"/>
  <c r="I11" i="1"/>
  <c r="J48" i="1"/>
  <c r="K48" i="1"/>
  <c r="I48" i="1"/>
  <c r="J45" i="1"/>
  <c r="K45" i="1"/>
  <c r="I45" i="1"/>
  <c r="O26" i="1"/>
  <c r="O23" i="1"/>
  <c r="O20" i="1"/>
  <c r="P26" i="1"/>
  <c r="P23" i="1"/>
  <c r="P20" i="1"/>
  <c r="Q26" i="1"/>
  <c r="Q23" i="1"/>
  <c r="Q20" i="1"/>
  <c r="D65" i="1"/>
  <c r="D67" i="1"/>
  <c r="H54" i="1"/>
  <c r="D54" i="1"/>
  <c r="H58" i="1"/>
  <c r="F56" i="1"/>
  <c r="G56" i="1"/>
  <c r="H56" i="1"/>
  <c r="H36" i="1"/>
  <c r="G31" i="1"/>
  <c r="F23" i="1"/>
  <c r="G23" i="1"/>
  <c r="H23" i="1"/>
  <c r="H31" i="1"/>
  <c r="H32" i="1" s="1"/>
  <c r="G12" i="2"/>
  <c r="D31" i="1"/>
  <c r="E31" i="1"/>
  <c r="F31" i="1"/>
  <c r="L65" i="1"/>
  <c r="L64" i="1" s="1"/>
  <c r="D68" i="1"/>
  <c r="C12" i="2" s="1"/>
  <c r="L67" i="1"/>
  <c r="L68" i="1" s="1"/>
  <c r="L48" i="1" l="1"/>
  <c r="L45" i="1"/>
  <c r="M11" i="1"/>
  <c r="D29" i="1"/>
  <c r="E29" i="1"/>
  <c r="F29" i="1"/>
  <c r="G29" i="1"/>
  <c r="H29" i="1"/>
  <c r="E26" i="1"/>
  <c r="G26" i="1"/>
  <c r="D23" i="1"/>
  <c r="E23" i="1"/>
  <c r="D20" i="1"/>
  <c r="E20" i="1"/>
  <c r="F20" i="1"/>
  <c r="G20" i="1"/>
  <c r="H20" i="1"/>
  <c r="C14" i="2"/>
  <c r="F49" i="1"/>
  <c r="G49" i="1"/>
  <c r="H49" i="1"/>
  <c r="E49" i="1"/>
  <c r="D49" i="1"/>
  <c r="D46" i="1"/>
  <c r="F46" i="1"/>
  <c r="H46" i="1"/>
  <c r="F32" i="1"/>
  <c r="D32" i="1"/>
  <c r="D26" i="1"/>
  <c r="G52" i="1"/>
  <c r="H52" i="1"/>
  <c r="G46" i="1"/>
  <c r="F26" i="1"/>
  <c r="H26" i="1"/>
  <c r="G16" i="1"/>
  <c r="F16" i="1"/>
  <c r="F34" i="1" s="1"/>
  <c r="F36" i="1" s="1"/>
  <c r="H16" i="1"/>
  <c r="E52" i="1"/>
  <c r="D52" i="1"/>
  <c r="E46" i="1"/>
  <c r="D44" i="1"/>
  <c r="E44" i="1" s="1"/>
  <c r="E16" i="1"/>
  <c r="D16" i="1"/>
  <c r="D34" i="1" s="1"/>
  <c r="H12" i="1"/>
  <c r="G12" i="1"/>
  <c r="F12" i="1"/>
  <c r="E12" i="1"/>
  <c r="J9" i="1"/>
  <c r="K9" i="1" s="1"/>
  <c r="L9" i="1" s="1"/>
  <c r="M9" i="1" s="1"/>
  <c r="N9" i="1" s="1"/>
  <c r="O9" i="1" s="1"/>
  <c r="P9" i="1" s="1"/>
  <c r="Q9" i="1" s="1"/>
  <c r="R9" i="1" s="1"/>
  <c r="N11" i="1" l="1"/>
  <c r="M48" i="1"/>
  <c r="M45" i="1"/>
  <c r="H34" i="1"/>
  <c r="D36" i="1"/>
  <c r="D56" i="1" s="1"/>
  <c r="E17" i="1"/>
  <c r="E34" i="1"/>
  <c r="G17" i="1"/>
  <c r="G34" i="1"/>
  <c r="F38" i="1"/>
  <c r="I28" i="1"/>
  <c r="I19" i="1"/>
  <c r="I22" i="1"/>
  <c r="I25" i="1"/>
  <c r="I51" i="1"/>
  <c r="F52" i="1"/>
  <c r="K12" i="2"/>
  <c r="I16" i="1"/>
  <c r="D17" i="1"/>
  <c r="H17" i="1"/>
  <c r="F17" i="1"/>
  <c r="E32" i="1"/>
  <c r="G32" i="1"/>
  <c r="N48" i="1" l="1"/>
  <c r="N45" i="1"/>
  <c r="O11" i="1"/>
  <c r="I31" i="1"/>
  <c r="I34" i="1"/>
  <c r="I32" i="1"/>
  <c r="G36" i="1"/>
  <c r="E36" i="1"/>
  <c r="E56" i="1" s="1"/>
  <c r="F54" i="1"/>
  <c r="F42" i="1"/>
  <c r="D38" i="1"/>
  <c r="H38" i="1"/>
  <c r="I14" i="1"/>
  <c r="C13" i="2"/>
  <c r="G13" i="2"/>
  <c r="G38" i="1"/>
  <c r="E38" i="1"/>
  <c r="E42" i="1" s="1"/>
  <c r="P11" i="1" l="1"/>
  <c r="O48" i="1"/>
  <c r="O45" i="1"/>
  <c r="I36" i="1"/>
  <c r="I38" i="1"/>
  <c r="H42" i="1"/>
  <c r="D58" i="1"/>
  <c r="D42" i="1"/>
  <c r="G54" i="1"/>
  <c r="G58" i="1" s="1"/>
  <c r="G42" i="1"/>
  <c r="D39" i="1"/>
  <c r="E54" i="1"/>
  <c r="E58" i="1" s="1"/>
  <c r="F58" i="1"/>
  <c r="F39" i="1"/>
  <c r="H39" i="1"/>
  <c r="K14" i="2"/>
  <c r="E5" i="1" s="1"/>
  <c r="G39" i="1"/>
  <c r="E39" i="1"/>
  <c r="P48" i="1" l="1"/>
  <c r="P45" i="1"/>
  <c r="Q11" i="1"/>
  <c r="R11" i="1" l="1"/>
  <c r="Q48" i="1"/>
  <c r="Q45" i="1"/>
  <c r="R48" i="1" l="1"/>
  <c r="R45" i="1"/>
  <c r="J19" i="1"/>
  <c r="J22" i="1"/>
  <c r="J51" i="1"/>
  <c r="J28" i="1"/>
  <c r="J25" i="1"/>
  <c r="J16" i="1"/>
  <c r="J14" i="1" s="1"/>
  <c r="J34" i="1" l="1"/>
  <c r="J31" i="1"/>
  <c r="J32" i="1" s="1"/>
  <c r="L19" i="1"/>
  <c r="L22" i="1"/>
  <c r="L25" i="1"/>
  <c r="L51" i="1"/>
  <c r="L28" i="1"/>
  <c r="L16" i="1"/>
  <c r="L31" i="1" l="1"/>
  <c r="L32" i="1" s="1"/>
  <c r="J36" i="1"/>
  <c r="J38" i="1"/>
  <c r="L34" i="1"/>
  <c r="L14" i="1"/>
  <c r="L36" i="1" l="1"/>
  <c r="L38" i="1"/>
  <c r="N16" i="1"/>
  <c r="N19" i="1"/>
  <c r="N51" i="1"/>
  <c r="N22" i="1"/>
  <c r="N25" i="1"/>
  <c r="N28" i="1"/>
  <c r="N31" i="1" l="1"/>
  <c r="N32" i="1" s="1"/>
  <c r="N34" i="1"/>
  <c r="N14" i="1"/>
  <c r="K16" i="1"/>
  <c r="K19" i="1"/>
  <c r="K22" i="1"/>
  <c r="K51" i="1"/>
  <c r="K28" i="1"/>
  <c r="K25" i="1"/>
  <c r="N36" i="1" l="1"/>
  <c r="N38" i="1"/>
  <c r="K31" i="1"/>
  <c r="K32" i="1" s="1"/>
  <c r="K34" i="1"/>
  <c r="K14" i="1"/>
  <c r="M16" i="1"/>
  <c r="M19" i="1"/>
  <c r="M51" i="1"/>
  <c r="M28" i="1"/>
  <c r="M22" i="1"/>
  <c r="M25" i="1"/>
  <c r="K36" i="1" l="1"/>
  <c r="K38" i="1"/>
  <c r="M31" i="1"/>
  <c r="M32" i="1" s="1"/>
  <c r="M34" i="1"/>
  <c r="M14" i="1"/>
  <c r="O19" i="1"/>
  <c r="O16" i="1"/>
  <c r="O14" i="1" s="1"/>
  <c r="O28" i="1"/>
  <c r="O25" i="1"/>
  <c r="O22" i="1"/>
  <c r="O51" i="1"/>
  <c r="M36" i="1" l="1"/>
  <c r="M38" i="1"/>
  <c r="O31" i="1"/>
  <c r="O32" i="1" s="1"/>
  <c r="O34" i="1"/>
  <c r="Q19" i="1"/>
  <c r="Q16" i="1"/>
  <c r="Q14" i="1" s="1"/>
  <c r="Q28" i="1"/>
  <c r="Q25" i="1"/>
  <c r="Q22" i="1"/>
  <c r="Q51" i="1"/>
  <c r="O36" i="1" l="1"/>
  <c r="O38" i="1"/>
  <c r="Q31" i="1"/>
  <c r="Q32" i="1" s="1"/>
  <c r="Q34" i="1"/>
  <c r="P16" i="1"/>
  <c r="P14" i="1" s="1"/>
  <c r="P25" i="1"/>
  <c r="P28" i="1"/>
  <c r="P22" i="1"/>
  <c r="P51" i="1"/>
  <c r="P19" i="1"/>
  <c r="Q36" i="1" l="1"/>
  <c r="Q38" i="1"/>
  <c r="P31" i="1"/>
  <c r="P32" i="1" s="1"/>
  <c r="P34" i="1"/>
  <c r="R19" i="1"/>
  <c r="R22" i="1"/>
  <c r="R25" i="1"/>
  <c r="R51" i="1"/>
  <c r="R28" i="1"/>
  <c r="R16" i="1"/>
  <c r="R14" i="1" s="1"/>
  <c r="P36" i="1" l="1"/>
  <c r="P38" i="1"/>
  <c r="P39" i="1" s="1"/>
  <c r="R31" i="1"/>
  <c r="R32" i="1" s="1"/>
  <c r="R34" i="1"/>
  <c r="J41" i="1"/>
  <c r="J56" i="1" s="1"/>
  <c r="L39" i="1"/>
  <c r="L41" i="1"/>
  <c r="O41" i="1"/>
  <c r="O56" i="1" s="1"/>
  <c r="O39" i="1"/>
  <c r="O54" i="1"/>
  <c r="M39" i="1"/>
  <c r="M41" i="1"/>
  <c r="M56" i="1" s="1"/>
  <c r="J39" i="1"/>
  <c r="N39" i="1"/>
  <c r="N41" i="1"/>
  <c r="N56" i="1" s="1"/>
  <c r="K39" i="1"/>
  <c r="K41" i="1"/>
  <c r="K56" i="1" s="1"/>
  <c r="Q39" i="1"/>
  <c r="Q41" i="1"/>
  <c r="Q56" i="1" s="1"/>
  <c r="I39" i="1"/>
  <c r="I41" i="1"/>
  <c r="I54" i="1" l="1"/>
  <c r="I56" i="1"/>
  <c r="L54" i="1"/>
  <c r="L56" i="1"/>
  <c r="P41" i="1"/>
  <c r="R36" i="1"/>
  <c r="R38" i="1"/>
  <c r="J54" i="1"/>
  <c r="Q54" i="1"/>
  <c r="K54" i="1"/>
  <c r="N54" i="1"/>
  <c r="M54" i="1"/>
  <c r="P54" i="1" l="1"/>
  <c r="P56" i="1"/>
  <c r="R39" i="1"/>
  <c r="R41" i="1"/>
  <c r="R56" i="1" l="1"/>
  <c r="S56" i="1" s="1"/>
  <c r="R54" i="1"/>
  <c r="T56" i="1" l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F61" i="1" l="1"/>
  <c r="H64" i="1" s="1"/>
  <c r="H66" i="1" s="1"/>
  <c r="H69" i="1" s="1"/>
  <c r="I58" i="1"/>
  <c r="I59" i="1" s="1"/>
  <c r="J58" i="1"/>
  <c r="J59" i="1" s="1"/>
  <c r="K58" i="1"/>
  <c r="K59" i="1" s="1"/>
  <c r="L58" i="1"/>
  <c r="L59" i="1" s="1"/>
  <c r="M58" i="1"/>
  <c r="M59" i="1" s="1"/>
  <c r="N58" i="1"/>
  <c r="N59" i="1" s="1"/>
  <c r="O58" i="1"/>
  <c r="O59" i="1" s="1"/>
  <c r="P58" i="1"/>
  <c r="P59" i="1" s="1"/>
  <c r="Q58" i="1"/>
  <c r="Q59" i="1" s="1"/>
  <c r="R58" i="1"/>
  <c r="R59" i="1" s="1"/>
  <c r="C61" i="1" l="1"/>
  <c r="C62" i="1" s="1"/>
  <c r="G64" i="1" s="1"/>
  <c r="G66" i="1" s="1"/>
  <c r="G69" i="1" s="1"/>
  <c r="D69" i="1" s="1"/>
  <c r="J6" i="1" l="1"/>
  <c r="N5" i="1" s="1"/>
  <c r="L63" i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<sst xmlns="http://schemas.openxmlformats.org/spreadsheetml/2006/main" count="85" uniqueCount="58">
  <si>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</si>
  <si>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</si>
  <si>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</si>
  <si>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</si>
  <si>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</si>
  <si>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</si>
  <si>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</si>
  <si>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</si>
  <si>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</si>
  <si>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</si>
  <si>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</si>
  <si>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</si>
  <si>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</si>
  <si>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</si>
  <si>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</si>
  <si>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</si>
  <si>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</si>
  <si>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</si>
  <si>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</si>
  <si>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</si>
  <si>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</si>
  <si>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</si>
  <si>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</si>
  <si>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</si>
  <si>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</si>
  <si>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</si>
  <si>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</si>
  <si>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</si>
  <si>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</si>
  <si>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</si>
  <si>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</si>
  <si>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</si>
  <si>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</si>
  <si>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</si>
  <si>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</si>
  <si>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</si>
  <si>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</si>
  <si>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</si>
  <si>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</si>
  <si>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</si>
  <si>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</si>
  <si>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</si>
  <si>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</si>
  <si>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</si>
  <si>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</si>
  <si>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</si>
  <si>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</si>
  <si>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</si>
  <si>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</si>
  <si>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</si>
  <si>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</si>
  <si>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</si>
  <si>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</si>
  <si>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</si>
  <si>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</si>
  <si>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</si>
  <si>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</si>
  <si>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Unity Software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</si>
</sst>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0" applyNumberFormat="1" applyFont="1" applyFill="1"/>
    <xf numFmtId="0" fontId="3" fillId="2" borderId="0" xfId="1" applyNumberFormat="1" applyFont="1" applyFill="1"/>
    <xf numFmtId="3" fontId="3" fillId="5" borderId="0" xfId="0" applyNumberFormat="1" applyFont="1" applyFill="1"/>
    <xf numFmtId="164" fontId="7" fillId="5" borderId="0" xfId="1" applyNumberFormat="1" applyFont="1" applyFill="1"/>
    <xf numFmtId="0" fontId="3" fillId="5" borderId="0" xfId="0" applyFont="1" applyFill="1"/>
    <xf numFmtId="3" fontId="3" fillId="5" borderId="1" xfId="0" applyNumberFormat="1" applyFont="1" applyFill="1" applyBorder="1"/>
    <xf numFmtId="3" fontId="3" fillId="12" borderId="0" xfId="0" applyNumberFormat="1" applyFont="1" applyFill="1"/>
    <xf numFmtId="0" fontId="3" fillId="12" borderId="0" xfId="0" applyFont="1" applyFill="1"/>
    <xf numFmtId="164" fontId="7" fillId="3" borderId="0" xfId="1" applyNumberFormat="1" applyFont="1" applyFill="1"/>
    <xf numFmtId="3" fontId="3" fillId="5" borderId="0" xfId="0" applyNumberFormat="1" applyFont="1" applyFill="1" applyBorder="1"/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164" fontId="7" fillId="10" borderId="4" xfId="1" applyNumberFormat="1" applyFont="1" applyFill="1" applyBorder="1"/>
    <xf numFmtId="164" fontId="7" fillId="10" borderId="0" xfId="1" applyNumberFormat="1" applyFont="1" applyFill="1" applyBorder="1"/>
    <xf numFmtId="164" fontId="7" fillId="10" borderId="4" xfId="0" applyNumberFormat="1" applyFont="1" applyFill="1" applyBorder="1"/>
    <xf numFmtId="164" fontId="7" fillId="10" borderId="0" xfId="0" applyNumberFormat="1" applyFont="1" applyFill="1" applyBorder="1"/>
    <xf numFmtId="10" fontId="7" fillId="10" borderId="4" xfId="0" applyNumberFormat="1" applyFont="1" applyFill="1" applyBorder="1"/>
    <xf numFmtId="10" fontId="7" fillId="10" borderId="0" xfId="0" applyNumberFormat="1" applyFont="1" applyFill="1" applyBorder="1"/>
    <xf numFmtId="164" fontId="3" fillId="10" borderId="4" xfId="0" applyNumberFormat="1" applyFont="1" applyFill="1" applyBorder="1"/>
    <xf numFmtId="164" fontId="3" fillId="1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0"/>
  <sheetViews>
    <sheetView tabSelected="1" workbookViewId="0">
      <selection activeCell="G9" sqref="G9"/>
    </sheetView>
  </sheetViews>
  <sheetFormatPr defaultRowHeight="15" x14ac:dyDescent="0.25"/>
  <cols>
    <col min="1" max="1" width="7.7109375" style="2" customWidth="1"/>
    <col min="2" max="2" width="14.5703125" style="2" customWidth="1"/>
    <col min="3" max="6" width="9.140625" style="2"/>
    <col min="7" max="7" width="11" style="2" customWidth="1"/>
    <col min="8" max="8" width="10.85546875" style="2" customWidth="1"/>
    <col min="9" max="18" width="11.28515625" style="2" customWidth="1"/>
    <col min="19" max="16384" width="9.140625" style="52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0.11944602315566397</v>
      </c>
      <c r="G5" s="1"/>
      <c r="H5" s="1" t="s">
        <v>2</v>
      </c>
      <c r="I5" s="1"/>
      <c r="J5" s="7">
        <v>31</v>
      </c>
      <c r="K5" s="1"/>
      <c r="L5" s="1" t="s">
        <v>3</v>
      </c>
      <c r="M5" s="1"/>
      <c r="N5" s="70">
        <f>(J6/J5)-1</f>
        <v>0.29293126327378705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D69</f>
        <v>40.080869161487399</v>
      </c>
      <c r="K6" s="1"/>
      <c r="L6" s="1" t="s">
        <v>53</v>
      </c>
      <c r="M6" s="1"/>
      <c r="N6" s="69">
        <v>45079</v>
      </c>
      <c r="O6" s="1"/>
      <c r="P6" s="1"/>
      <c r="Q6" s="1"/>
    </row>
    <row r="7" spans="1:86" x14ac:dyDescent="0.25">
      <c r="B7" s="69"/>
      <c r="C7" s="1"/>
      <c r="D7" s="1"/>
      <c r="E7" s="9"/>
      <c r="F7" s="1"/>
      <c r="G7" s="1"/>
      <c r="H7" s="1"/>
      <c r="I7" s="1"/>
      <c r="J7" s="1"/>
      <c r="K7" s="1"/>
      <c r="L7" s="58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8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5">
        <v>2023</v>
      </c>
      <c r="J10" s="85">
        <v>2024</v>
      </c>
      <c r="K10" s="85">
        <v>2025</v>
      </c>
      <c r="L10" s="85">
        <v>2026</v>
      </c>
      <c r="M10" s="85">
        <v>2027</v>
      </c>
      <c r="N10" s="85">
        <v>2028</v>
      </c>
      <c r="O10" s="85">
        <v>2029</v>
      </c>
      <c r="P10" s="85">
        <v>2030</v>
      </c>
      <c r="Q10" s="85">
        <v>2031</v>
      </c>
      <c r="R10" s="85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84"/>
      <c r="D11" s="12">
        <v>380755</v>
      </c>
      <c r="E11" s="12">
        <v>541779</v>
      </c>
      <c r="F11" s="12">
        <v>772445</v>
      </c>
      <c r="G11" s="12">
        <v>1110526</v>
      </c>
      <c r="H11" s="12">
        <v>1391024</v>
      </c>
      <c r="I11" s="21">
        <f>H11*(1+I12)</f>
        <v>2150000</v>
      </c>
      <c r="J11" s="86">
        <f t="shared" ref="J11:R11" si="1">I11*(1+J12)</f>
        <v>2560000</v>
      </c>
      <c r="K11" s="86">
        <f t="shared" si="1"/>
        <v>3020000</v>
      </c>
      <c r="L11" s="86">
        <f t="shared" si="1"/>
        <v>3420000</v>
      </c>
      <c r="M11" s="86">
        <f t="shared" si="1"/>
        <v>5010000</v>
      </c>
      <c r="N11" s="86">
        <f t="shared" si="1"/>
        <v>6060000</v>
      </c>
      <c r="O11" s="86">
        <f t="shared" si="1"/>
        <v>7280000.0000000009</v>
      </c>
      <c r="P11" s="86">
        <f t="shared" si="1"/>
        <v>8700000</v>
      </c>
      <c r="Q11" s="86">
        <f t="shared" si="1"/>
        <v>10370000</v>
      </c>
      <c r="R11" s="86">
        <f t="shared" si="1"/>
        <v>12360000</v>
      </c>
    </row>
    <row r="12" spans="1:86" x14ac:dyDescent="0.25">
      <c r="A12" s="1"/>
      <c r="B12" s="72" t="s">
        <v>8</v>
      </c>
      <c r="C12" s="73"/>
      <c r="D12" s="73"/>
      <c r="E12" s="73">
        <f t="shared" ref="E12:H12" si="2">(E11/D11)-1</f>
        <v>0.42290711875090281</v>
      </c>
      <c r="F12" s="73">
        <f t="shared" si="2"/>
        <v>0.42575662770243961</v>
      </c>
      <c r="G12" s="73">
        <f t="shared" si="2"/>
        <v>0.43767646887480671</v>
      </c>
      <c r="H12" s="73">
        <f t="shared" si="2"/>
        <v>0.25258120926479877</v>
      </c>
      <c r="I12" s="90">
        <v>0.54562394322455976</v>
      </c>
      <c r="J12" s="91">
        <v>0.19069767441860463</v>
      </c>
      <c r="K12" s="91">
        <v>0.1796875</v>
      </c>
      <c r="L12" s="91">
        <v>0.13245033112582782</v>
      </c>
      <c r="M12" s="91">
        <v>0.46491228070175428</v>
      </c>
      <c r="N12" s="91">
        <v>0.20958083832335328</v>
      </c>
      <c r="O12" s="91">
        <v>0.20132013201320142</v>
      </c>
      <c r="P12" s="91">
        <v>0.19505494505494503</v>
      </c>
      <c r="Q12" s="91">
        <v>0.19195402298850572</v>
      </c>
      <c r="R12" s="91">
        <v>0.19189971070395373</v>
      </c>
    </row>
    <row r="13" spans="1:86" x14ac:dyDescent="0.25">
      <c r="A13" s="1"/>
      <c r="B13" s="6"/>
      <c r="C13" s="79"/>
      <c r="D13" s="1"/>
      <c r="E13" s="1"/>
      <c r="F13" s="1"/>
      <c r="G13" s="1"/>
      <c r="H13" s="1"/>
      <c r="I13" s="13"/>
      <c r="J13" s="87"/>
      <c r="K13" s="87"/>
      <c r="L13" s="87"/>
      <c r="M13" s="87"/>
      <c r="N13" s="87"/>
      <c r="O13" s="87"/>
      <c r="P13" s="87"/>
      <c r="Q13" s="87"/>
      <c r="R13" s="87"/>
    </row>
    <row r="14" spans="1:86" x14ac:dyDescent="0.25">
      <c r="A14" s="1"/>
      <c r="B14" s="1" t="s">
        <v>9</v>
      </c>
      <c r="C14" s="80"/>
      <c r="D14" s="12">
        <v>81267</v>
      </c>
      <c r="E14" s="12">
        <v>118597</v>
      </c>
      <c r="F14" s="12">
        <v>172347</v>
      </c>
      <c r="G14" s="12">
        <v>253630</v>
      </c>
      <c r="H14" s="36">
        <v>442500</v>
      </c>
      <c r="I14" s="66">
        <f>I11-I16</f>
        <v>490630</v>
      </c>
      <c r="J14" s="64">
        <f t="shared" ref="J14:K14" si="3">J11-J16</f>
        <v>574464</v>
      </c>
      <c r="K14" s="64">
        <f t="shared" si="3"/>
        <v>755000</v>
      </c>
      <c r="L14" s="64">
        <f t="shared" ref="L14:R14" si="4">L11-L16</f>
        <v>919980</v>
      </c>
      <c r="M14" s="64">
        <f t="shared" si="4"/>
        <v>1322640</v>
      </c>
      <c r="N14" s="64">
        <f t="shared" si="4"/>
        <v>1581660</v>
      </c>
      <c r="O14" s="64">
        <f t="shared" si="4"/>
        <v>1856400</v>
      </c>
      <c r="P14" s="64">
        <f t="shared" si="4"/>
        <v>2183700</v>
      </c>
      <c r="Q14" s="64">
        <f t="shared" si="4"/>
        <v>2582130</v>
      </c>
      <c r="R14" s="64">
        <f t="shared" si="4"/>
        <v>3052920</v>
      </c>
    </row>
    <row r="15" spans="1:86" x14ac:dyDescent="0.25">
      <c r="A15" s="1"/>
      <c r="B15" s="18"/>
      <c r="C15" s="77"/>
      <c r="D15" s="18"/>
      <c r="E15" s="18"/>
      <c r="F15" s="18"/>
      <c r="G15" s="18"/>
      <c r="H15" s="18"/>
      <c r="I15" s="13"/>
      <c r="J15" s="87"/>
      <c r="K15" s="87"/>
      <c r="L15" s="87"/>
      <c r="M15" s="87"/>
      <c r="N15" s="87"/>
      <c r="O15" s="87"/>
      <c r="P15" s="87"/>
      <c r="Q15" s="87"/>
      <c r="R15" s="87"/>
    </row>
    <row r="16" spans="1:86" x14ac:dyDescent="0.25">
      <c r="A16" s="1"/>
      <c r="B16" s="1" t="s">
        <v>10</v>
      </c>
      <c r="C16" s="78"/>
      <c r="D16" s="12">
        <f t="shared" ref="C16:F16" si="5">D11-D14</f>
        <v>299488</v>
      </c>
      <c r="E16" s="12">
        <f t="shared" si="5"/>
        <v>423182</v>
      </c>
      <c r="F16" s="12">
        <f t="shared" si="5"/>
        <v>600098</v>
      </c>
      <c r="G16" s="12">
        <f>G11-G14</f>
        <v>856896</v>
      </c>
      <c r="H16" s="12">
        <f>H11-H14</f>
        <v>948524</v>
      </c>
      <c r="I16" s="21">
        <f>I11*I17</f>
        <v>1659370</v>
      </c>
      <c r="J16" s="86">
        <f t="shared" ref="J16:R16" si="6">J11*J17</f>
        <v>1985536</v>
      </c>
      <c r="K16" s="86">
        <f t="shared" si="6"/>
        <v>2265000</v>
      </c>
      <c r="L16" s="86">
        <f t="shared" si="6"/>
        <v>2500020</v>
      </c>
      <c r="M16" s="86">
        <f t="shared" si="6"/>
        <v>3687360</v>
      </c>
      <c r="N16" s="86">
        <f t="shared" si="6"/>
        <v>4478340</v>
      </c>
      <c r="O16" s="86">
        <f t="shared" si="6"/>
        <v>5423600.0000000009</v>
      </c>
      <c r="P16" s="86">
        <f t="shared" si="6"/>
        <v>6516300</v>
      </c>
      <c r="Q16" s="86">
        <f t="shared" si="6"/>
        <v>7787870</v>
      </c>
      <c r="R16" s="86">
        <f t="shared" si="6"/>
        <v>9307080</v>
      </c>
    </row>
    <row r="17" spans="1:18" x14ac:dyDescent="0.25">
      <c r="A17" s="1"/>
      <c r="B17" s="72" t="s">
        <v>11</v>
      </c>
      <c r="C17" s="82"/>
      <c r="D17" s="73">
        <f t="shared" ref="D17:H17" si="7">D16/D11</f>
        <v>0.78656353823324709</v>
      </c>
      <c r="E17" s="73">
        <f t="shared" si="7"/>
        <v>0.78109708940361289</v>
      </c>
      <c r="F17" s="73">
        <f t="shared" si="7"/>
        <v>0.7768812018978698</v>
      </c>
      <c r="G17" s="73">
        <f t="shared" si="7"/>
        <v>0.77161273126428376</v>
      </c>
      <c r="H17" s="73">
        <f t="shared" si="7"/>
        <v>0.68188902563866616</v>
      </c>
      <c r="I17" s="92">
        <v>0.77180000000000004</v>
      </c>
      <c r="J17" s="93">
        <v>0.77559999999999996</v>
      </c>
      <c r="K17" s="93">
        <v>0.75</v>
      </c>
      <c r="L17" s="93">
        <v>0.73099999999999998</v>
      </c>
      <c r="M17" s="93">
        <v>0.73599999999999999</v>
      </c>
      <c r="N17" s="93">
        <v>0.73899999999999999</v>
      </c>
      <c r="O17" s="93">
        <v>0.745</v>
      </c>
      <c r="P17" s="93">
        <v>0.749</v>
      </c>
      <c r="Q17" s="93">
        <v>0.751</v>
      </c>
      <c r="R17" s="93">
        <v>0.753</v>
      </c>
    </row>
    <row r="18" spans="1:18" x14ac:dyDescent="0.25">
      <c r="A18" s="1"/>
      <c r="B18" s="6"/>
      <c r="C18" s="77"/>
      <c r="D18" s="1"/>
      <c r="E18" s="1"/>
      <c r="F18" s="1"/>
      <c r="G18" s="1"/>
      <c r="H18" s="1"/>
      <c r="I18" s="13"/>
      <c r="J18" s="87"/>
      <c r="K18" s="87"/>
      <c r="L18" s="87"/>
      <c r="M18" s="87"/>
      <c r="N18" s="87"/>
      <c r="O18" s="87"/>
      <c r="P18" s="87"/>
      <c r="Q18" s="87"/>
      <c r="R18" s="87"/>
    </row>
    <row r="19" spans="1:18" x14ac:dyDescent="0.25">
      <c r="A19" s="1"/>
      <c r="B19" s="1" t="s">
        <v>12</v>
      </c>
      <c r="C19" s="77"/>
      <c r="D19" s="12">
        <v>204071</v>
      </c>
      <c r="E19" s="12">
        <v>255928</v>
      </c>
      <c r="F19" s="12">
        <v>403515</v>
      </c>
      <c r="G19" s="12">
        <v>695710</v>
      </c>
      <c r="H19" s="12">
        <v>959491</v>
      </c>
      <c r="I19" s="21">
        <f>I20*I11</f>
        <v>1290000</v>
      </c>
      <c r="J19" s="86">
        <f t="shared" ref="J19:R19" si="8">J20*J11</f>
        <v>1280000</v>
      </c>
      <c r="K19" s="86">
        <f t="shared" si="8"/>
        <v>1328800</v>
      </c>
      <c r="L19" s="86">
        <f t="shared" si="8"/>
        <v>1197000</v>
      </c>
      <c r="M19" s="86">
        <f t="shared" si="8"/>
        <v>1452900</v>
      </c>
      <c r="N19" s="86">
        <f t="shared" si="8"/>
        <v>1672560.0000000002</v>
      </c>
      <c r="O19" s="86">
        <f t="shared" si="8"/>
        <v>1565200</v>
      </c>
      <c r="P19" s="86">
        <f t="shared" si="8"/>
        <v>1722599.9999999998</v>
      </c>
      <c r="Q19" s="86">
        <f t="shared" si="8"/>
        <v>1814750</v>
      </c>
      <c r="R19" s="86">
        <f t="shared" si="8"/>
        <v>1977600</v>
      </c>
    </row>
    <row r="20" spans="1:18" x14ac:dyDescent="0.25">
      <c r="A20" s="1"/>
      <c r="B20" s="72" t="s">
        <v>18</v>
      </c>
      <c r="C20" s="73"/>
      <c r="D20" s="73">
        <f t="shared" ref="D20:H20" si="9">D19/D11</f>
        <v>0.5359640713844861</v>
      </c>
      <c r="E20" s="73">
        <f t="shared" si="9"/>
        <v>0.47238449626139073</v>
      </c>
      <c r="F20" s="73">
        <f t="shared" si="9"/>
        <v>0.52238670714419799</v>
      </c>
      <c r="G20" s="73">
        <f t="shared" si="9"/>
        <v>0.62646889852196164</v>
      </c>
      <c r="H20" s="73">
        <f t="shared" si="9"/>
        <v>0.68977314553882607</v>
      </c>
      <c r="I20" s="90">
        <v>0.6</v>
      </c>
      <c r="J20" s="91">
        <v>0.5</v>
      </c>
      <c r="K20" s="91">
        <v>0.44</v>
      </c>
      <c r="L20" s="91">
        <v>0.35</v>
      </c>
      <c r="M20" s="91">
        <v>0.28999999999999998</v>
      </c>
      <c r="N20" s="91">
        <v>0.27600000000000002</v>
      </c>
      <c r="O20" s="91">
        <f>P20+1.7%</f>
        <v>0.21499999999999997</v>
      </c>
      <c r="P20" s="91">
        <f>Q20+2.3%</f>
        <v>0.19799999999999998</v>
      </c>
      <c r="Q20" s="91">
        <f>R20+1.5%</f>
        <v>0.17499999999999999</v>
      </c>
      <c r="R20" s="91">
        <v>0.16</v>
      </c>
    </row>
    <row r="21" spans="1:18" x14ac:dyDescent="0.25">
      <c r="A21" s="1"/>
      <c r="B21" s="14"/>
      <c r="C21" s="79"/>
      <c r="D21" s="12"/>
      <c r="E21" s="12"/>
      <c r="F21" s="12"/>
      <c r="G21" s="12"/>
      <c r="H21" s="12"/>
      <c r="I21" s="21"/>
      <c r="J21" s="86"/>
      <c r="K21" s="86"/>
      <c r="L21" s="86"/>
      <c r="M21" s="86"/>
      <c r="N21" s="86"/>
      <c r="O21" s="86"/>
      <c r="P21" s="86"/>
      <c r="Q21" s="86"/>
      <c r="R21" s="86"/>
    </row>
    <row r="22" spans="1:18" x14ac:dyDescent="0.25">
      <c r="A22" s="1"/>
      <c r="B22" s="1" t="s">
        <v>54</v>
      </c>
      <c r="C22" s="77"/>
      <c r="D22" s="12">
        <v>134458</v>
      </c>
      <c r="E22" s="12">
        <v>174135</v>
      </c>
      <c r="F22" s="12">
        <v>216416</v>
      </c>
      <c r="G22" s="12">
        <v>344939</v>
      </c>
      <c r="H22" s="12">
        <v>497956</v>
      </c>
      <c r="I22" s="21">
        <f>I23*I11</f>
        <v>666500</v>
      </c>
      <c r="J22" s="86">
        <f t="shared" ref="J22:R22" si="10">J23*J11</f>
        <v>683520</v>
      </c>
      <c r="K22" s="86">
        <f t="shared" si="10"/>
        <v>682520</v>
      </c>
      <c r="L22" s="86">
        <f t="shared" si="10"/>
        <v>718200</v>
      </c>
      <c r="M22" s="86">
        <f t="shared" si="10"/>
        <v>1042080</v>
      </c>
      <c r="N22" s="86">
        <f t="shared" si="10"/>
        <v>1151400</v>
      </c>
      <c r="O22" s="86">
        <f t="shared" si="10"/>
        <v>1419600.0000000002</v>
      </c>
      <c r="P22" s="86">
        <f t="shared" si="10"/>
        <v>1548600.0000000002</v>
      </c>
      <c r="Q22" s="86">
        <f t="shared" si="10"/>
        <v>1607350.0000000002</v>
      </c>
      <c r="R22" s="86">
        <f t="shared" si="10"/>
        <v>1730400.0000000002</v>
      </c>
    </row>
    <row r="23" spans="1:18" x14ac:dyDescent="0.25">
      <c r="A23" s="1"/>
      <c r="B23" s="72" t="s">
        <v>18</v>
      </c>
      <c r="C23" s="81"/>
      <c r="D23" s="73">
        <f t="shared" ref="D23:H23" si="11">D22/D11</f>
        <v>0.35313521818492205</v>
      </c>
      <c r="E23" s="73">
        <f t="shared" si="11"/>
        <v>0.32141334381731296</v>
      </c>
      <c r="F23" s="73">
        <f t="shared" si="11"/>
        <v>0.28017010919871316</v>
      </c>
      <c r="G23" s="73">
        <f t="shared" si="11"/>
        <v>0.31060866652379143</v>
      </c>
      <c r="H23" s="73">
        <f t="shared" si="11"/>
        <v>0.35797800756852505</v>
      </c>
      <c r="I23" s="90">
        <v>0.31</v>
      </c>
      <c r="J23" s="91">
        <v>0.26700000000000002</v>
      </c>
      <c r="K23" s="91">
        <v>0.22600000000000001</v>
      </c>
      <c r="L23" s="91">
        <v>0.21</v>
      </c>
      <c r="M23" s="91">
        <v>0.20799999999999999</v>
      </c>
      <c r="N23" s="91">
        <v>0.19</v>
      </c>
      <c r="O23" s="91">
        <f>P23+1.7%</f>
        <v>0.19500000000000001</v>
      </c>
      <c r="P23" s="91">
        <f>Q23+2.3%</f>
        <v>0.17800000000000002</v>
      </c>
      <c r="Q23" s="91">
        <f>R23+1.5%</f>
        <v>0.15500000000000003</v>
      </c>
      <c r="R23" s="91">
        <v>0.14000000000000001</v>
      </c>
    </row>
    <row r="24" spans="1:18" x14ac:dyDescent="0.25">
      <c r="A24" s="1"/>
      <c r="B24" s="14"/>
      <c r="C24" s="78"/>
      <c r="D24" s="12"/>
      <c r="E24" s="12"/>
      <c r="F24" s="12"/>
      <c r="G24" s="12"/>
      <c r="H24" s="12"/>
      <c r="I24" s="21"/>
      <c r="J24" s="86"/>
      <c r="K24" s="86"/>
      <c r="L24" s="86"/>
      <c r="M24" s="86"/>
      <c r="N24" s="86"/>
      <c r="O24" s="86"/>
      <c r="P24" s="86"/>
      <c r="Q24" s="86"/>
      <c r="R24" s="86"/>
    </row>
    <row r="25" spans="1:18" x14ac:dyDescent="0.25">
      <c r="A25" s="1"/>
      <c r="B25" s="1" t="s">
        <v>55</v>
      </c>
      <c r="C25" s="79"/>
      <c r="D25" s="12">
        <v>91260</v>
      </c>
      <c r="E25" s="12">
        <v>143788</v>
      </c>
      <c r="F25" s="12">
        <v>254979</v>
      </c>
      <c r="G25" s="12">
        <v>347912</v>
      </c>
      <c r="H25" s="12">
        <v>373290</v>
      </c>
      <c r="I25" s="67">
        <f t="shared" ref="I25:R25" si="12">I26*I11</f>
        <v>559000</v>
      </c>
      <c r="J25" s="88">
        <f t="shared" si="12"/>
        <v>640000</v>
      </c>
      <c r="K25" s="88">
        <f t="shared" si="12"/>
        <v>694600</v>
      </c>
      <c r="L25" s="88">
        <f t="shared" si="12"/>
        <v>786600</v>
      </c>
      <c r="M25" s="88">
        <f t="shared" si="12"/>
        <v>1152300</v>
      </c>
      <c r="N25" s="88">
        <f t="shared" si="12"/>
        <v>1272600</v>
      </c>
      <c r="O25" s="88">
        <f t="shared" si="12"/>
        <v>1419600.0000000002</v>
      </c>
      <c r="P25" s="88">
        <f t="shared" si="12"/>
        <v>1548600.0000000002</v>
      </c>
      <c r="Q25" s="88">
        <f t="shared" si="12"/>
        <v>1607350.0000000002</v>
      </c>
      <c r="R25" s="88">
        <f t="shared" si="12"/>
        <v>1730400.0000000002</v>
      </c>
    </row>
    <row r="26" spans="1:18" x14ac:dyDescent="0.25">
      <c r="A26" s="1"/>
      <c r="B26" s="72" t="s">
        <v>18</v>
      </c>
      <c r="C26" s="81"/>
      <c r="D26" s="73">
        <f t="shared" ref="C26:H26" si="13">D25/D11</f>
        <v>0.23968168507307849</v>
      </c>
      <c r="E26" s="73">
        <f t="shared" si="13"/>
        <v>0.26539972940996237</v>
      </c>
      <c r="F26" s="73">
        <f t="shared" si="13"/>
        <v>0.33009340470842585</v>
      </c>
      <c r="G26" s="73">
        <f t="shared" si="13"/>
        <v>0.3132857762897942</v>
      </c>
      <c r="H26" s="73">
        <f t="shared" si="13"/>
        <v>0.26835626128664924</v>
      </c>
      <c r="I26" s="90">
        <v>0.26</v>
      </c>
      <c r="J26" s="91">
        <v>0.25</v>
      </c>
      <c r="K26" s="91">
        <v>0.23</v>
      </c>
      <c r="L26" s="91">
        <v>0.23</v>
      </c>
      <c r="M26" s="91">
        <v>0.23</v>
      </c>
      <c r="N26" s="91">
        <v>0.21</v>
      </c>
      <c r="O26" s="91">
        <f>P26+1.7%</f>
        <v>0.19500000000000001</v>
      </c>
      <c r="P26" s="91">
        <f>Q26+2.3%</f>
        <v>0.17800000000000002</v>
      </c>
      <c r="Q26" s="91">
        <f>R26+1.5%</f>
        <v>0.15500000000000003</v>
      </c>
      <c r="R26" s="91">
        <v>0.14000000000000001</v>
      </c>
    </row>
    <row r="27" spans="1:18" x14ac:dyDescent="0.25">
      <c r="A27" s="1"/>
      <c r="B27" s="14"/>
      <c r="C27" s="77"/>
      <c r="D27" s="12"/>
      <c r="E27" s="12"/>
      <c r="F27" s="12"/>
      <c r="G27" s="12"/>
      <c r="H27" s="12"/>
      <c r="I27" s="67"/>
      <c r="J27" s="88"/>
      <c r="K27" s="88"/>
      <c r="L27" s="88"/>
      <c r="M27" s="88"/>
      <c r="N27" s="88"/>
      <c r="O27" s="88"/>
      <c r="P27" s="88"/>
      <c r="Q27" s="88"/>
      <c r="R27" s="88"/>
    </row>
    <row r="28" spans="1:18" x14ac:dyDescent="0.25">
      <c r="A28" s="1"/>
      <c r="B28" s="1" t="s">
        <v>15</v>
      </c>
      <c r="C28" s="78"/>
      <c r="D28" s="12">
        <v>-2327</v>
      </c>
      <c r="E28" s="12">
        <v>-2573</v>
      </c>
      <c r="F28" s="12">
        <v>-5405</v>
      </c>
      <c r="G28" s="12">
        <v>435</v>
      </c>
      <c r="H28" s="12">
        <v>-212</v>
      </c>
      <c r="I28" s="67">
        <f t="shared" ref="I28:R28" si="14">I29*I11</f>
        <v>-430</v>
      </c>
      <c r="J28" s="88">
        <f t="shared" si="14"/>
        <v>-512</v>
      </c>
      <c r="K28" s="88">
        <f t="shared" si="14"/>
        <v>-604</v>
      </c>
      <c r="L28" s="88">
        <f t="shared" si="14"/>
        <v>-684</v>
      </c>
      <c r="M28" s="88">
        <f t="shared" si="14"/>
        <v>-1002</v>
      </c>
      <c r="N28" s="88">
        <f t="shared" si="14"/>
        <v>-1212</v>
      </c>
      <c r="O28" s="88">
        <f t="shared" si="14"/>
        <v>-1456.0000000000002</v>
      </c>
      <c r="P28" s="88">
        <f t="shared" si="14"/>
        <v>-1740</v>
      </c>
      <c r="Q28" s="88">
        <f t="shared" si="14"/>
        <v>-2074</v>
      </c>
      <c r="R28" s="88">
        <f t="shared" si="14"/>
        <v>-2472</v>
      </c>
    </row>
    <row r="29" spans="1:18" x14ac:dyDescent="0.25">
      <c r="A29" s="1"/>
      <c r="B29" s="72" t="s">
        <v>18</v>
      </c>
      <c r="C29" s="82"/>
      <c r="D29" s="73">
        <f t="shared" ref="C29:H29" si="15">D28/D11</f>
        <v>-6.1115415424616883E-3</v>
      </c>
      <c r="E29" s="73">
        <f t="shared" si="15"/>
        <v>-4.7491689415794999E-3</v>
      </c>
      <c r="F29" s="73">
        <f t="shared" si="15"/>
        <v>-6.9972619409796166E-3</v>
      </c>
      <c r="G29" s="73">
        <f t="shared" si="15"/>
        <v>3.9170627252311065E-4</v>
      </c>
      <c r="H29" s="73">
        <f t="shared" si="15"/>
        <v>-1.5240570975051472E-4</v>
      </c>
      <c r="I29" s="90">
        <v>-2.0000000000000001E-4</v>
      </c>
      <c r="J29" s="91">
        <v>-2.0000000000000001E-4</v>
      </c>
      <c r="K29" s="91">
        <v>-2.0000000000000001E-4</v>
      </c>
      <c r="L29" s="91">
        <v>-2.0000000000000001E-4</v>
      </c>
      <c r="M29" s="91">
        <v>-2.0000000000000001E-4</v>
      </c>
      <c r="N29" s="91">
        <v>-2.0000000000000001E-4</v>
      </c>
      <c r="O29" s="91">
        <v>-2.0000000000000001E-4</v>
      </c>
      <c r="P29" s="91">
        <v>-2.0000000000000001E-4</v>
      </c>
      <c r="Q29" s="91">
        <v>-2.0000000000000001E-4</v>
      </c>
      <c r="R29" s="91">
        <v>-2.0000000000000001E-4</v>
      </c>
    </row>
    <row r="30" spans="1:18" x14ac:dyDescent="0.25">
      <c r="A30" s="1"/>
      <c r="B30" s="1"/>
      <c r="C30" s="77"/>
      <c r="D30" s="1"/>
      <c r="E30" s="1"/>
      <c r="F30" s="12"/>
      <c r="G30" s="12"/>
      <c r="H30" s="12"/>
      <c r="I30" s="13"/>
      <c r="J30" s="87"/>
      <c r="K30" s="87"/>
      <c r="L30" s="87"/>
      <c r="M30" s="87"/>
      <c r="N30" s="87"/>
      <c r="O30" s="87"/>
      <c r="P30" s="87"/>
      <c r="Q30" s="87"/>
      <c r="R30" s="87"/>
    </row>
    <row r="31" spans="1:18" x14ac:dyDescent="0.25">
      <c r="A31" s="1"/>
      <c r="B31" s="1" t="s">
        <v>13</v>
      </c>
      <c r="C31" s="77"/>
      <c r="D31" s="12">
        <f t="shared" ref="C31:R31" si="16">D19+D22+D25</f>
        <v>429789</v>
      </c>
      <c r="E31" s="12">
        <f t="shared" si="16"/>
        <v>573851</v>
      </c>
      <c r="F31" s="12">
        <f t="shared" si="16"/>
        <v>874910</v>
      </c>
      <c r="G31" s="12">
        <f>G19+G22+G25</f>
        <v>1388561</v>
      </c>
      <c r="H31" s="12">
        <f t="shared" si="16"/>
        <v>1830737</v>
      </c>
      <c r="I31" s="67">
        <f t="shared" si="16"/>
        <v>2515500</v>
      </c>
      <c r="J31" s="88">
        <f t="shared" si="16"/>
        <v>2603520</v>
      </c>
      <c r="K31" s="88">
        <f t="shared" si="16"/>
        <v>2705920</v>
      </c>
      <c r="L31" s="88">
        <f t="shared" si="16"/>
        <v>2701800</v>
      </c>
      <c r="M31" s="88">
        <f t="shared" si="16"/>
        <v>3647280</v>
      </c>
      <c r="N31" s="88">
        <f t="shared" si="16"/>
        <v>4096560</v>
      </c>
      <c r="O31" s="88">
        <f t="shared" si="16"/>
        <v>4404400</v>
      </c>
      <c r="P31" s="88">
        <f t="shared" si="16"/>
        <v>4819800</v>
      </c>
      <c r="Q31" s="88">
        <f t="shared" si="16"/>
        <v>5029450</v>
      </c>
      <c r="R31" s="88">
        <f t="shared" si="16"/>
        <v>5438400</v>
      </c>
    </row>
    <row r="32" spans="1:18" x14ac:dyDescent="0.25">
      <c r="A32" s="1"/>
      <c r="B32" s="72" t="s">
        <v>18</v>
      </c>
      <c r="C32" s="73"/>
      <c r="D32" s="73">
        <f t="shared" ref="C32:R32" si="17">D31/D11</f>
        <v>1.1287809746424866</v>
      </c>
      <c r="E32" s="73">
        <f t="shared" si="17"/>
        <v>1.0591975694886659</v>
      </c>
      <c r="F32" s="73">
        <f t="shared" si="17"/>
        <v>1.1326502210513369</v>
      </c>
      <c r="G32" s="73">
        <f t="shared" si="17"/>
        <v>1.2503633413355473</v>
      </c>
      <c r="H32" s="73">
        <f t="shared" si="17"/>
        <v>1.3161074143940004</v>
      </c>
      <c r="I32" s="90">
        <f t="shared" si="17"/>
        <v>1.17</v>
      </c>
      <c r="J32" s="91">
        <f t="shared" si="17"/>
        <v>1.0169999999999999</v>
      </c>
      <c r="K32" s="91">
        <f t="shared" si="17"/>
        <v>0.89600000000000002</v>
      </c>
      <c r="L32" s="91">
        <f t="shared" si="17"/>
        <v>0.79</v>
      </c>
      <c r="M32" s="91">
        <f t="shared" si="17"/>
        <v>0.72799999999999998</v>
      </c>
      <c r="N32" s="91">
        <f t="shared" si="17"/>
        <v>0.67600000000000005</v>
      </c>
      <c r="O32" s="91">
        <f t="shared" si="17"/>
        <v>0.60499999999999987</v>
      </c>
      <c r="P32" s="91">
        <f t="shared" si="17"/>
        <v>0.55400000000000005</v>
      </c>
      <c r="Q32" s="91">
        <f t="shared" si="17"/>
        <v>0.48499999999999999</v>
      </c>
      <c r="R32" s="91">
        <f t="shared" si="17"/>
        <v>0.44</v>
      </c>
    </row>
    <row r="33" spans="1:86" x14ac:dyDescent="0.25">
      <c r="A33" s="1"/>
      <c r="B33" s="1"/>
      <c r="C33" s="79"/>
      <c r="D33" s="15"/>
      <c r="E33" s="15"/>
      <c r="F33" s="15"/>
      <c r="G33" s="15"/>
      <c r="H33" s="15"/>
      <c r="I33" s="20"/>
      <c r="J33" s="51"/>
      <c r="K33" s="51"/>
      <c r="L33" s="51"/>
      <c r="M33" s="51"/>
      <c r="N33" s="51"/>
      <c r="O33" s="51"/>
      <c r="P33" s="51"/>
      <c r="Q33" s="51"/>
      <c r="R33" s="51"/>
    </row>
    <row r="34" spans="1:86" x14ac:dyDescent="0.25">
      <c r="A34" s="1"/>
      <c r="B34" s="1" t="s">
        <v>14</v>
      </c>
      <c r="C34" s="77"/>
      <c r="D34" s="12">
        <f t="shared" ref="C34:R34" si="18">D16-D19-D22-D25</f>
        <v>-130301</v>
      </c>
      <c r="E34" s="12">
        <f t="shared" si="18"/>
        <v>-150669</v>
      </c>
      <c r="F34" s="12">
        <f t="shared" si="18"/>
        <v>-274812</v>
      </c>
      <c r="G34" s="12">
        <f t="shared" si="18"/>
        <v>-531665</v>
      </c>
      <c r="H34" s="12">
        <f t="shared" si="18"/>
        <v>-882213</v>
      </c>
      <c r="I34" s="67">
        <f t="shared" si="18"/>
        <v>-856130</v>
      </c>
      <c r="J34" s="88">
        <f t="shared" si="18"/>
        <v>-617984</v>
      </c>
      <c r="K34" s="88">
        <f t="shared" si="18"/>
        <v>-440920</v>
      </c>
      <c r="L34" s="88">
        <f t="shared" si="18"/>
        <v>-201780</v>
      </c>
      <c r="M34" s="88">
        <f t="shared" si="18"/>
        <v>40080</v>
      </c>
      <c r="N34" s="88">
        <f t="shared" si="18"/>
        <v>381780</v>
      </c>
      <c r="O34" s="88">
        <f t="shared" si="18"/>
        <v>1019200.0000000007</v>
      </c>
      <c r="P34" s="88">
        <f t="shared" si="18"/>
        <v>1696499.9999999998</v>
      </c>
      <c r="Q34" s="88">
        <f t="shared" si="18"/>
        <v>2758420</v>
      </c>
      <c r="R34" s="88">
        <f t="shared" si="18"/>
        <v>3868680</v>
      </c>
    </row>
    <row r="35" spans="1:86" x14ac:dyDescent="0.25">
      <c r="A35" s="1"/>
      <c r="B35" s="1"/>
      <c r="C35" s="77"/>
      <c r="D35" s="22"/>
      <c r="E35" s="22"/>
      <c r="F35" s="22"/>
      <c r="G35" s="22"/>
      <c r="H35" s="22"/>
      <c r="I35" s="13"/>
      <c r="J35" s="87"/>
      <c r="K35" s="87"/>
      <c r="L35" s="87"/>
      <c r="M35" s="87"/>
      <c r="N35" s="87"/>
      <c r="O35" s="87"/>
      <c r="P35" s="87"/>
      <c r="Q35" s="87"/>
      <c r="R35" s="87"/>
    </row>
    <row r="36" spans="1:86" x14ac:dyDescent="0.25">
      <c r="A36" s="1"/>
      <c r="B36" s="1" t="s">
        <v>16</v>
      </c>
      <c r="C36" s="78"/>
      <c r="D36" s="12">
        <f t="shared" ref="C36:G36" si="19">D34+D28</f>
        <v>-132628</v>
      </c>
      <c r="E36" s="12">
        <f t="shared" si="19"/>
        <v>-153242</v>
      </c>
      <c r="F36" s="12">
        <f t="shared" si="19"/>
        <v>-280217</v>
      </c>
      <c r="G36" s="12">
        <f t="shared" si="19"/>
        <v>-531230</v>
      </c>
      <c r="H36" s="12">
        <f>H34+H28</f>
        <v>-882425</v>
      </c>
      <c r="I36" s="67">
        <f>I34+I28</f>
        <v>-856560</v>
      </c>
      <c r="J36" s="88">
        <f t="shared" ref="J36:R36" si="20">J34+J28</f>
        <v>-618496</v>
      </c>
      <c r="K36" s="88">
        <f t="shared" si="20"/>
        <v>-441524</v>
      </c>
      <c r="L36" s="88">
        <f t="shared" si="20"/>
        <v>-202464</v>
      </c>
      <c r="M36" s="88">
        <f t="shared" si="20"/>
        <v>39078</v>
      </c>
      <c r="N36" s="88">
        <f t="shared" si="20"/>
        <v>380568</v>
      </c>
      <c r="O36" s="88">
        <f t="shared" si="20"/>
        <v>1017744.0000000007</v>
      </c>
      <c r="P36" s="88">
        <f t="shared" si="20"/>
        <v>1694759.9999999998</v>
      </c>
      <c r="Q36" s="88">
        <f t="shared" si="20"/>
        <v>2756346</v>
      </c>
      <c r="R36" s="88">
        <f t="shared" si="20"/>
        <v>3866208</v>
      </c>
    </row>
    <row r="37" spans="1:86" x14ac:dyDescent="0.25">
      <c r="A37" s="1"/>
      <c r="B37" s="1"/>
      <c r="C37" s="79"/>
      <c r="D37" s="22"/>
      <c r="E37" s="22"/>
      <c r="F37" s="22"/>
      <c r="G37" s="22"/>
      <c r="H37" s="22"/>
      <c r="I37" s="13"/>
      <c r="J37" s="87"/>
      <c r="K37" s="87"/>
      <c r="L37" s="87"/>
      <c r="M37" s="87"/>
      <c r="N37" s="87"/>
      <c r="O37" s="87"/>
      <c r="P37" s="87"/>
      <c r="Q37" s="87"/>
      <c r="R37" s="87"/>
    </row>
    <row r="38" spans="1:86" x14ac:dyDescent="0.25">
      <c r="A38" s="1"/>
      <c r="B38" s="1" t="s">
        <v>17</v>
      </c>
      <c r="C38" s="77"/>
      <c r="D38" s="12">
        <f t="shared" ref="C38:R38" si="21">D34</f>
        <v>-130301</v>
      </c>
      <c r="E38" s="12">
        <f t="shared" si="21"/>
        <v>-150669</v>
      </c>
      <c r="F38" s="12">
        <f>F34</f>
        <v>-274812</v>
      </c>
      <c r="G38" s="12">
        <f t="shared" si="21"/>
        <v>-531665</v>
      </c>
      <c r="H38" s="12">
        <f t="shared" si="21"/>
        <v>-882213</v>
      </c>
      <c r="I38" s="67">
        <f t="shared" si="21"/>
        <v>-856130</v>
      </c>
      <c r="J38" s="88">
        <f t="shared" si="21"/>
        <v>-617984</v>
      </c>
      <c r="K38" s="88">
        <f t="shared" si="21"/>
        <v>-440920</v>
      </c>
      <c r="L38" s="88">
        <f t="shared" si="21"/>
        <v>-201780</v>
      </c>
      <c r="M38" s="88">
        <f t="shared" si="21"/>
        <v>40080</v>
      </c>
      <c r="N38" s="88">
        <f t="shared" si="21"/>
        <v>381780</v>
      </c>
      <c r="O38" s="88">
        <f t="shared" si="21"/>
        <v>1019200.0000000007</v>
      </c>
      <c r="P38" s="88">
        <f t="shared" si="21"/>
        <v>1696499.9999999998</v>
      </c>
      <c r="Q38" s="88">
        <f t="shared" si="21"/>
        <v>2758420</v>
      </c>
      <c r="R38" s="88">
        <f t="shared" si="21"/>
        <v>3868680</v>
      </c>
    </row>
    <row r="39" spans="1:86" x14ac:dyDescent="0.25">
      <c r="A39" s="1"/>
      <c r="B39" s="72" t="s">
        <v>18</v>
      </c>
      <c r="C39" s="81"/>
      <c r="D39" s="73">
        <f t="shared" ref="C39:H39" si="22">D38/D11</f>
        <v>-0.34221743640923952</v>
      </c>
      <c r="E39" s="73">
        <f t="shared" si="22"/>
        <v>-0.27810048008505311</v>
      </c>
      <c r="F39" s="73">
        <f t="shared" si="22"/>
        <v>-0.35576901915346726</v>
      </c>
      <c r="G39" s="73">
        <f t="shared" si="22"/>
        <v>-0.47875061007126352</v>
      </c>
      <c r="H39" s="73">
        <f t="shared" si="22"/>
        <v>-0.63421838875533421</v>
      </c>
      <c r="I39" s="90">
        <f t="shared" ref="I39" si="23">I38/I11</f>
        <v>-0.3982</v>
      </c>
      <c r="J39" s="91">
        <f t="shared" ref="J39" si="24">J38/J11</f>
        <v>-0.2414</v>
      </c>
      <c r="K39" s="91">
        <f t="shared" ref="K39" si="25">K38/K11</f>
        <v>-0.14599999999999999</v>
      </c>
      <c r="L39" s="91">
        <f t="shared" ref="L39" si="26">L38/L11</f>
        <v>-5.8999999999999997E-2</v>
      </c>
      <c r="M39" s="91">
        <f t="shared" ref="M39" si="27">M38/M11</f>
        <v>8.0000000000000002E-3</v>
      </c>
      <c r="N39" s="91">
        <f t="shared" ref="N39" si="28">N38/N11</f>
        <v>6.3E-2</v>
      </c>
      <c r="O39" s="91">
        <f t="shared" ref="O39" si="29">O38/O11</f>
        <v>0.14000000000000007</v>
      </c>
      <c r="P39" s="91">
        <f t="shared" ref="P39" si="30">P38/P11</f>
        <v>0.19499999999999998</v>
      </c>
      <c r="Q39" s="91">
        <f t="shared" ref="Q39" si="31">Q38/Q11</f>
        <v>0.26600000000000001</v>
      </c>
      <c r="R39" s="91">
        <f t="shared" ref="R39" si="32">R38/R11</f>
        <v>0.313</v>
      </c>
    </row>
    <row r="40" spans="1:86" x14ac:dyDescent="0.25">
      <c r="A40" s="1"/>
      <c r="B40" s="14"/>
      <c r="C40" s="78"/>
      <c r="D40" s="1"/>
      <c r="F40" s="1"/>
      <c r="G40" s="1"/>
      <c r="H40" s="1"/>
      <c r="I40" s="13"/>
      <c r="J40" s="87"/>
      <c r="K40" s="87"/>
      <c r="L40" s="87"/>
      <c r="M40" s="87"/>
      <c r="N40" s="87"/>
      <c r="O40" s="87"/>
      <c r="P40" s="87"/>
      <c r="Q40" s="87"/>
      <c r="R40" s="87"/>
    </row>
    <row r="41" spans="1:86" x14ac:dyDescent="0.25">
      <c r="A41" s="1"/>
      <c r="B41" s="1" t="s">
        <v>19</v>
      </c>
      <c r="C41" s="79"/>
      <c r="D41" s="12">
        <v>-1026</v>
      </c>
      <c r="E41" s="23">
        <v>9948</v>
      </c>
      <c r="F41" s="12">
        <v>2091</v>
      </c>
      <c r="G41" s="12">
        <v>1377</v>
      </c>
      <c r="H41" s="19">
        <v>37063</v>
      </c>
      <c r="I41" s="21">
        <f>I42*I38</f>
        <v>25683.899999999998</v>
      </c>
      <c r="J41" s="86">
        <f t="shared" ref="J41:R41" si="33">J42*J38</f>
        <v>18539.52</v>
      </c>
      <c r="K41" s="86">
        <f t="shared" si="33"/>
        <v>13227.6</v>
      </c>
      <c r="L41" s="86">
        <f t="shared" si="33"/>
        <v>6053.4</v>
      </c>
      <c r="M41" s="86">
        <f t="shared" si="33"/>
        <v>1202.3999999999999</v>
      </c>
      <c r="N41" s="86">
        <f t="shared" si="33"/>
        <v>38178</v>
      </c>
      <c r="O41" s="86">
        <f t="shared" si="33"/>
        <v>132496.00000000009</v>
      </c>
      <c r="P41" s="86">
        <f t="shared" si="33"/>
        <v>254474.99999999994</v>
      </c>
      <c r="Q41" s="86">
        <f t="shared" si="33"/>
        <v>496515.6</v>
      </c>
      <c r="R41" s="86">
        <f t="shared" si="33"/>
        <v>773736</v>
      </c>
    </row>
    <row r="42" spans="1:86" x14ac:dyDescent="0.25">
      <c r="A42" s="1"/>
      <c r="B42" s="72" t="s">
        <v>20</v>
      </c>
      <c r="C42" s="81"/>
      <c r="D42" s="74">
        <f t="shared" ref="D42:G42" si="34">D41/D38</f>
        <v>7.8740761774660217E-3</v>
      </c>
      <c r="E42" s="74">
        <f t="shared" si="34"/>
        <v>-6.6025526153356037E-2</v>
      </c>
      <c r="F42" s="74">
        <f>F41/F38</f>
        <v>-7.6088380420068994E-3</v>
      </c>
      <c r="G42" s="74">
        <f t="shared" si="34"/>
        <v>-2.5899767710870565E-3</v>
      </c>
      <c r="H42" s="74">
        <f>H41/H38</f>
        <v>-4.2011396340792984E-2</v>
      </c>
      <c r="I42" s="94">
        <v>-0.03</v>
      </c>
      <c r="J42" s="95">
        <v>-0.03</v>
      </c>
      <c r="K42" s="95">
        <v>-0.03</v>
      </c>
      <c r="L42" s="95">
        <v>-0.03</v>
      </c>
      <c r="M42" s="95">
        <v>0.03</v>
      </c>
      <c r="N42" s="95">
        <v>0.1</v>
      </c>
      <c r="O42" s="95">
        <v>0.13</v>
      </c>
      <c r="P42" s="95">
        <v>0.15</v>
      </c>
      <c r="Q42" s="95">
        <v>0.18</v>
      </c>
      <c r="R42" s="95">
        <v>0.2</v>
      </c>
    </row>
    <row r="43" spans="1:86" x14ac:dyDescent="0.25">
      <c r="A43" s="1"/>
      <c r="B43" s="1"/>
      <c r="C43" s="77"/>
      <c r="D43" s="1"/>
      <c r="E43" s="1"/>
      <c r="F43" s="1"/>
      <c r="G43" s="1"/>
      <c r="H43" s="1"/>
      <c r="I43" s="13"/>
      <c r="J43" s="87"/>
      <c r="K43" s="87"/>
      <c r="L43" s="87"/>
      <c r="M43" s="87"/>
      <c r="N43" s="87"/>
      <c r="O43" s="87"/>
      <c r="P43" s="87"/>
      <c r="Q43" s="87"/>
      <c r="R43" s="87"/>
    </row>
    <row r="44" spans="1:86" x14ac:dyDescent="0.25">
      <c r="A44" s="1"/>
      <c r="B44" s="10" t="s">
        <v>21</v>
      </c>
      <c r="C44" s="83"/>
      <c r="D44" s="10">
        <f>C44+1</f>
        <v>1</v>
      </c>
      <c r="E44" s="10">
        <f>D44+1</f>
        <v>2</v>
      </c>
      <c r="F44" s="10">
        <v>2020</v>
      </c>
      <c r="G44" s="10">
        <v>2021</v>
      </c>
      <c r="H44" s="10">
        <v>2022</v>
      </c>
      <c r="I44" s="68">
        <v>2023</v>
      </c>
      <c r="J44" s="89">
        <v>2024</v>
      </c>
      <c r="K44" s="89">
        <v>2025</v>
      </c>
      <c r="L44" s="89">
        <v>2026</v>
      </c>
      <c r="M44" s="89">
        <v>2027</v>
      </c>
      <c r="N44" s="89">
        <v>2028</v>
      </c>
      <c r="O44" s="89">
        <v>2029</v>
      </c>
      <c r="P44" s="89">
        <v>2030</v>
      </c>
      <c r="Q44" s="89">
        <v>2031</v>
      </c>
      <c r="R44" s="89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79"/>
      <c r="D45" s="12">
        <v>20518</v>
      </c>
      <c r="E45" s="23">
        <v>31113</v>
      </c>
      <c r="F45" s="12">
        <v>42974</v>
      </c>
      <c r="G45" s="12">
        <v>64567</v>
      </c>
      <c r="H45" s="12">
        <v>211576</v>
      </c>
      <c r="I45" s="21">
        <f>I46*I11</f>
        <v>417329.99999999994</v>
      </c>
      <c r="J45" s="86">
        <f t="shared" ref="J45:R45" si="35">J46*J11</f>
        <v>378440</v>
      </c>
      <c r="K45" s="86">
        <f t="shared" si="35"/>
        <v>448840</v>
      </c>
      <c r="L45" s="86">
        <f t="shared" si="35"/>
        <v>434850</v>
      </c>
      <c r="M45" s="86">
        <f t="shared" si="35"/>
        <v>316900</v>
      </c>
      <c r="N45" s="86">
        <f t="shared" si="35"/>
        <v>322900</v>
      </c>
      <c r="O45" s="86">
        <f t="shared" si="35"/>
        <v>328700.00000000006</v>
      </c>
      <c r="P45" s="86">
        <f t="shared" si="35"/>
        <v>316000</v>
      </c>
      <c r="Q45" s="86">
        <f t="shared" si="35"/>
        <v>167500</v>
      </c>
      <c r="R45" s="86">
        <f t="shared" si="35"/>
        <v>130000</v>
      </c>
    </row>
    <row r="46" spans="1:86" x14ac:dyDescent="0.25">
      <c r="A46" s="1"/>
      <c r="B46" s="72" t="s">
        <v>18</v>
      </c>
      <c r="C46" s="81"/>
      <c r="D46" s="73">
        <f t="shared" ref="C46:H46" si="36">D45/D11</f>
        <v>5.3887670549303358E-2</v>
      </c>
      <c r="E46" s="73">
        <f t="shared" si="36"/>
        <v>5.7427475040560817E-2</v>
      </c>
      <c r="F46" s="73">
        <f t="shared" si="36"/>
        <v>5.5633734440639786E-2</v>
      </c>
      <c r="G46" s="73">
        <f t="shared" si="36"/>
        <v>5.8140917006895831E-2</v>
      </c>
      <c r="H46" s="73">
        <f t="shared" si="36"/>
        <v>0.1521008983310137</v>
      </c>
      <c r="I46" s="90">
        <v>0.19410697674418603</v>
      </c>
      <c r="J46" s="91">
        <v>0.147828125</v>
      </c>
      <c r="K46" s="91">
        <v>0.14862251655629138</v>
      </c>
      <c r="L46" s="91">
        <v>0.12714912280701754</v>
      </c>
      <c r="M46" s="91">
        <v>6.3253493013972054E-2</v>
      </c>
      <c r="N46" s="91">
        <v>5.3283828382838287E-2</v>
      </c>
      <c r="O46" s="91">
        <v>4.5151098901098904E-2</v>
      </c>
      <c r="P46" s="91">
        <v>3.6321839080459772E-2</v>
      </c>
      <c r="Q46" s="91">
        <v>1.6152362584378015E-2</v>
      </c>
      <c r="R46" s="91">
        <v>1.0517799352750809E-2</v>
      </c>
    </row>
    <row r="47" spans="1:86" x14ac:dyDescent="0.25">
      <c r="A47" s="1"/>
      <c r="B47" s="1"/>
      <c r="C47" s="77"/>
      <c r="D47" s="1"/>
      <c r="F47" s="1"/>
      <c r="G47" s="1"/>
      <c r="H47" s="1"/>
      <c r="I47" s="13"/>
      <c r="J47" s="87"/>
      <c r="K47" s="87"/>
      <c r="L47" s="87"/>
      <c r="M47" s="87"/>
      <c r="N47" s="87"/>
      <c r="O47" s="87"/>
      <c r="P47" s="87"/>
      <c r="Q47" s="87"/>
      <c r="R47" s="87"/>
    </row>
    <row r="48" spans="1:86" x14ac:dyDescent="0.25">
      <c r="A48" s="1"/>
      <c r="B48" s="1" t="s">
        <v>23</v>
      </c>
      <c r="C48" s="78"/>
      <c r="D48" s="12">
        <v>-38019</v>
      </c>
      <c r="E48" s="23">
        <v>-27035</v>
      </c>
      <c r="F48" s="12">
        <v>-40156</v>
      </c>
      <c r="G48" s="12">
        <v>-41938</v>
      </c>
      <c r="H48" s="12">
        <v>-57138</v>
      </c>
      <c r="I48" s="21">
        <f>I49*I11</f>
        <v>-417329.99999999994</v>
      </c>
      <c r="J48" s="86">
        <f t="shared" ref="J48:R48" si="37">J49*J11</f>
        <v>-378440</v>
      </c>
      <c r="K48" s="86">
        <f t="shared" si="37"/>
        <v>-448840</v>
      </c>
      <c r="L48" s="86">
        <f t="shared" si="37"/>
        <v>-434850</v>
      </c>
      <c r="M48" s="86">
        <f t="shared" si="37"/>
        <v>-316900</v>
      </c>
      <c r="N48" s="86">
        <f t="shared" si="37"/>
        <v>-322900</v>
      </c>
      <c r="O48" s="86">
        <f t="shared" si="37"/>
        <v>-328700.00000000006</v>
      </c>
      <c r="P48" s="86">
        <f t="shared" si="37"/>
        <v>-316000</v>
      </c>
      <c r="Q48" s="86">
        <f t="shared" si="37"/>
        <v>-167000</v>
      </c>
      <c r="R48" s="86">
        <f t="shared" si="37"/>
        <v>-130000</v>
      </c>
    </row>
    <row r="49" spans="1:86" x14ac:dyDescent="0.25">
      <c r="A49" s="1"/>
      <c r="B49" s="72" t="s">
        <v>18</v>
      </c>
      <c r="C49" s="82"/>
      <c r="D49" s="73">
        <f t="shared" ref="C49:H49" si="38">D48/D11</f>
        <v>-9.9851610615750291E-2</v>
      </c>
      <c r="E49" s="73">
        <f t="shared" si="38"/>
        <v>-4.9900420651224943E-2</v>
      </c>
      <c r="F49" s="73">
        <f t="shared" si="38"/>
        <v>-5.1985578261235427E-2</v>
      </c>
      <c r="G49" s="73">
        <f t="shared" si="38"/>
        <v>-3.7764086567986702E-2</v>
      </c>
      <c r="H49" s="73">
        <f t="shared" si="38"/>
        <v>-4.1076214357192976E-2</v>
      </c>
      <c r="I49" s="90">
        <v>-0.19410697674418603</v>
      </c>
      <c r="J49" s="91">
        <v>-0.147828125</v>
      </c>
      <c r="K49" s="91">
        <v>-0.14862251655629138</v>
      </c>
      <c r="L49" s="91">
        <v>-0.12714912280701754</v>
      </c>
      <c r="M49" s="91">
        <v>-6.3253493013972054E-2</v>
      </c>
      <c r="N49" s="91">
        <v>-5.3283828382838287E-2</v>
      </c>
      <c r="O49" s="91">
        <v>-4.5151098901098904E-2</v>
      </c>
      <c r="P49" s="91">
        <v>-3.6321839080459772E-2</v>
      </c>
      <c r="Q49" s="91">
        <v>-1.6104146576663453E-2</v>
      </c>
      <c r="R49" s="91">
        <v>-1.0517799352750809E-2</v>
      </c>
    </row>
    <row r="50" spans="1:86" x14ac:dyDescent="0.25">
      <c r="A50" s="1"/>
      <c r="B50" s="1"/>
      <c r="C50" s="77"/>
      <c r="D50" s="1"/>
      <c r="F50" s="1"/>
      <c r="G50" s="1"/>
      <c r="H50" s="1"/>
      <c r="I50" s="13"/>
      <c r="J50" s="87"/>
      <c r="K50" s="87"/>
      <c r="L50" s="87"/>
      <c r="M50" s="87"/>
      <c r="N50" s="87"/>
      <c r="O50" s="87"/>
      <c r="P50" s="87"/>
      <c r="Q50" s="87"/>
      <c r="R50" s="87"/>
    </row>
    <row r="51" spans="1:86" x14ac:dyDescent="0.25">
      <c r="A51" s="1"/>
      <c r="B51" s="1" t="s">
        <v>24</v>
      </c>
      <c r="C51" s="77"/>
      <c r="D51" s="1">
        <v>8323</v>
      </c>
      <c r="E51" s="2">
        <v>19528</v>
      </c>
      <c r="F51" s="37">
        <v>57757</v>
      </c>
      <c r="G51" s="37">
        <v>-4411</v>
      </c>
      <c r="H51" s="37">
        <v>76998</v>
      </c>
      <c r="I51" s="21">
        <f t="shared" ref="I51:R51" si="39">I52*I11</f>
        <v>64500</v>
      </c>
      <c r="J51" s="86">
        <f t="shared" si="39"/>
        <v>76800</v>
      </c>
      <c r="K51" s="86">
        <f t="shared" si="39"/>
        <v>90600</v>
      </c>
      <c r="L51" s="86">
        <f t="shared" si="39"/>
        <v>136800</v>
      </c>
      <c r="M51" s="86">
        <f t="shared" si="39"/>
        <v>200400</v>
      </c>
      <c r="N51" s="86">
        <f t="shared" si="39"/>
        <v>242400</v>
      </c>
      <c r="O51" s="86">
        <f t="shared" si="39"/>
        <v>364000.00000000006</v>
      </c>
      <c r="P51" s="86">
        <f t="shared" si="39"/>
        <v>435000</v>
      </c>
      <c r="Q51" s="86">
        <f t="shared" si="39"/>
        <v>518500</v>
      </c>
      <c r="R51" s="86">
        <f t="shared" si="39"/>
        <v>618000</v>
      </c>
    </row>
    <row r="52" spans="1:86" x14ac:dyDescent="0.25">
      <c r="A52" s="1"/>
      <c r="B52" s="72" t="s">
        <v>18</v>
      </c>
      <c r="C52" s="73"/>
      <c r="D52" s="73">
        <f t="shared" ref="C52:H52" si="40">D51/D11</f>
        <v>2.1859200798413678E-2</v>
      </c>
      <c r="E52" s="73">
        <f t="shared" si="40"/>
        <v>3.6044217291552459E-2</v>
      </c>
      <c r="F52" s="73">
        <f t="shared" si="40"/>
        <v>7.477166659114888E-2</v>
      </c>
      <c r="G52" s="73">
        <f t="shared" si="40"/>
        <v>-3.9719916508033134E-3</v>
      </c>
      <c r="H52" s="73">
        <f t="shared" si="40"/>
        <v>5.5353466223444024E-2</v>
      </c>
      <c r="I52" s="96">
        <v>0.03</v>
      </c>
      <c r="J52" s="97">
        <v>0.03</v>
      </c>
      <c r="K52" s="97">
        <v>0.03</v>
      </c>
      <c r="L52" s="97">
        <v>0.04</v>
      </c>
      <c r="M52" s="97">
        <v>0.04</v>
      </c>
      <c r="N52" s="97">
        <v>0.04</v>
      </c>
      <c r="O52" s="97">
        <v>0.05</v>
      </c>
      <c r="P52" s="97">
        <v>0.05</v>
      </c>
      <c r="Q52" s="97">
        <v>0.05</v>
      </c>
      <c r="R52" s="97">
        <v>0.05</v>
      </c>
    </row>
    <row r="53" spans="1:86" x14ac:dyDescent="0.25">
      <c r="A53" s="1"/>
      <c r="B53" s="1"/>
      <c r="C53" s="79"/>
      <c r="D53" s="1"/>
      <c r="E53" s="1"/>
      <c r="F53" s="1"/>
      <c r="G53" s="1"/>
      <c r="H53" s="1"/>
      <c r="I53" s="13"/>
      <c r="J53" s="87"/>
      <c r="K53" s="87"/>
      <c r="L53" s="87"/>
      <c r="M53" s="87"/>
      <c r="N53" s="87"/>
      <c r="O53" s="87"/>
      <c r="P53" s="87"/>
      <c r="Q53" s="87"/>
      <c r="R53" s="87"/>
    </row>
    <row r="54" spans="1:86" x14ac:dyDescent="0.25">
      <c r="A54" s="1"/>
      <c r="B54" s="10" t="s">
        <v>25</v>
      </c>
      <c r="C54" s="77"/>
      <c r="D54" s="12">
        <f>D38+D41</f>
        <v>-131327</v>
      </c>
      <c r="E54" s="12">
        <f t="shared" ref="D54:R54" si="41">E38+E41</f>
        <v>-140721</v>
      </c>
      <c r="F54" s="12">
        <f>F38+F41</f>
        <v>-272721</v>
      </c>
      <c r="G54" s="12">
        <f t="shared" si="41"/>
        <v>-530288</v>
      </c>
      <c r="H54" s="12">
        <f>H38+H41</f>
        <v>-845150</v>
      </c>
      <c r="I54" s="67">
        <f>I38+I41</f>
        <v>-830446.1</v>
      </c>
      <c r="J54" s="88">
        <f t="shared" si="41"/>
        <v>-599444.47999999998</v>
      </c>
      <c r="K54" s="88">
        <f t="shared" si="41"/>
        <v>-427692.4</v>
      </c>
      <c r="L54" s="88">
        <f t="shared" si="41"/>
        <v>-195726.6</v>
      </c>
      <c r="M54" s="88">
        <f t="shared" si="41"/>
        <v>41282.400000000001</v>
      </c>
      <c r="N54" s="88">
        <f t="shared" si="41"/>
        <v>419958</v>
      </c>
      <c r="O54" s="88">
        <f t="shared" si="41"/>
        <v>1151696.0000000007</v>
      </c>
      <c r="P54" s="88">
        <f t="shared" si="41"/>
        <v>1950974.9999999998</v>
      </c>
      <c r="Q54" s="88">
        <f t="shared" si="41"/>
        <v>3254935.6</v>
      </c>
      <c r="R54" s="88">
        <f t="shared" si="41"/>
        <v>4642416</v>
      </c>
    </row>
    <row r="55" spans="1:86" x14ac:dyDescent="0.25">
      <c r="A55" s="1"/>
      <c r="B55" s="10" t="s">
        <v>56</v>
      </c>
      <c r="C55" s="77"/>
      <c r="D55" s="12"/>
      <c r="E55" s="12"/>
      <c r="F55" s="75">
        <v>0</v>
      </c>
      <c r="G55" s="76">
        <v>0</v>
      </c>
      <c r="H55" s="76">
        <v>1574</v>
      </c>
      <c r="I55" s="67"/>
      <c r="J55" s="88"/>
      <c r="K55" s="88"/>
      <c r="L55" s="88"/>
      <c r="M55" s="88"/>
      <c r="N55" s="88"/>
      <c r="O55" s="88"/>
      <c r="P55" s="88"/>
      <c r="Q55" s="88"/>
      <c r="R55" s="88"/>
    </row>
    <row r="56" spans="1:86" x14ac:dyDescent="0.25">
      <c r="A56" s="1"/>
      <c r="B56" s="10" t="s">
        <v>26</v>
      </c>
      <c r="C56" s="78"/>
      <c r="D56" s="12">
        <f t="shared" ref="C56:G56" si="42">D36-D41-D55</f>
        <v>-131602</v>
      </c>
      <c r="E56" s="12">
        <f t="shared" si="42"/>
        <v>-163190</v>
      </c>
      <c r="F56" s="12">
        <f t="shared" si="42"/>
        <v>-282308</v>
      </c>
      <c r="G56" s="12">
        <f t="shared" si="42"/>
        <v>-532607</v>
      </c>
      <c r="H56" s="12">
        <f>H36-H41-H55</f>
        <v>-921062</v>
      </c>
      <c r="I56" s="67">
        <f t="shared" ref="I56:R56" si="43">I36-I41-I55</f>
        <v>-882243.9</v>
      </c>
      <c r="J56" s="88">
        <f t="shared" si="43"/>
        <v>-637035.52000000002</v>
      </c>
      <c r="K56" s="88">
        <f t="shared" si="43"/>
        <v>-454751.6</v>
      </c>
      <c r="L56" s="88">
        <f t="shared" si="43"/>
        <v>-208517.4</v>
      </c>
      <c r="M56" s="88">
        <f t="shared" si="43"/>
        <v>37875.599999999999</v>
      </c>
      <c r="N56" s="88">
        <f t="shared" si="43"/>
        <v>342390</v>
      </c>
      <c r="O56" s="88">
        <f t="shared" si="43"/>
        <v>885248.00000000058</v>
      </c>
      <c r="P56" s="88">
        <f t="shared" si="43"/>
        <v>1440284.9999999998</v>
      </c>
      <c r="Q56" s="88">
        <f t="shared" si="43"/>
        <v>2259830.4</v>
      </c>
      <c r="R56" s="88">
        <f>R36-R41-R55</f>
        <v>3092472</v>
      </c>
      <c r="S56" s="63">
        <f>R56*(1+$E$6)</f>
        <v>3185246.16</v>
      </c>
      <c r="T56" s="63">
        <f t="shared" ref="T56:CE56" si="44">S56*(1+$E$6)</f>
        <v>3280803.5448000003</v>
      </c>
      <c r="U56" s="63">
        <f t="shared" si="44"/>
        <v>3379227.6511440002</v>
      </c>
      <c r="V56" s="63">
        <f t="shared" si="44"/>
        <v>3480604.4806783204</v>
      </c>
      <c r="W56" s="63">
        <f t="shared" si="44"/>
        <v>3585022.6150986701</v>
      </c>
      <c r="X56" s="63">
        <f t="shared" si="44"/>
        <v>3692573.2935516303</v>
      </c>
      <c r="Y56" s="63">
        <f t="shared" si="44"/>
        <v>3803350.4923581793</v>
      </c>
      <c r="Z56" s="63">
        <f t="shared" si="44"/>
        <v>3917451.0071289246</v>
      </c>
      <c r="AA56" s="63">
        <f t="shared" si="44"/>
        <v>4034974.5373427924</v>
      </c>
      <c r="AB56" s="63">
        <f t="shared" si="44"/>
        <v>4156023.7734630764</v>
      </c>
      <c r="AC56" s="63">
        <f t="shared" si="44"/>
        <v>4280704.486666969</v>
      </c>
      <c r="AD56" s="63">
        <f t="shared" si="44"/>
        <v>4409125.6212669779</v>
      </c>
      <c r="AE56" s="63">
        <f t="shared" si="44"/>
        <v>4541399.3899049871</v>
      </c>
      <c r="AF56" s="63">
        <f t="shared" si="44"/>
        <v>4677641.3716021366</v>
      </c>
      <c r="AG56" s="63">
        <f t="shared" si="44"/>
        <v>4817970.6127502006</v>
      </c>
      <c r="AH56" s="63">
        <f t="shared" si="44"/>
        <v>4962509.7311327066</v>
      </c>
      <c r="AI56" s="63">
        <f t="shared" si="44"/>
        <v>5111385.0230666883</v>
      </c>
      <c r="AJ56" s="63">
        <f t="shared" si="44"/>
        <v>5264726.5737586888</v>
      </c>
      <c r="AK56" s="63">
        <f t="shared" si="44"/>
        <v>5422668.3709714497</v>
      </c>
      <c r="AL56" s="63">
        <f t="shared" si="44"/>
        <v>5585348.4221005933</v>
      </c>
      <c r="AM56" s="63">
        <f t="shared" si="44"/>
        <v>5752908.8747636117</v>
      </c>
      <c r="AN56" s="63">
        <f t="shared" si="44"/>
        <v>5925496.14100652</v>
      </c>
      <c r="AO56" s="63">
        <f t="shared" si="44"/>
        <v>6103261.0252367156</v>
      </c>
      <c r="AP56" s="63">
        <f t="shared" si="44"/>
        <v>6286358.8559938176</v>
      </c>
      <c r="AQ56" s="63">
        <f t="shared" si="44"/>
        <v>6474949.6216736324</v>
      </c>
      <c r="AR56" s="63">
        <f t="shared" si="44"/>
        <v>6669198.1103238417</v>
      </c>
      <c r="AS56" s="63">
        <f t="shared" si="44"/>
        <v>6869274.0536335567</v>
      </c>
      <c r="AT56" s="63">
        <f t="shared" si="44"/>
        <v>7075352.2752425633</v>
      </c>
      <c r="AU56" s="63">
        <f t="shared" si="44"/>
        <v>7287612.8434998402</v>
      </c>
      <c r="AV56" s="63">
        <f t="shared" si="44"/>
        <v>7506241.228804836</v>
      </c>
      <c r="AW56" s="63">
        <f t="shared" si="44"/>
        <v>7731428.465668981</v>
      </c>
      <c r="AX56" s="63">
        <f t="shared" si="44"/>
        <v>7963371.3196390504</v>
      </c>
      <c r="AY56" s="63">
        <f t="shared" si="44"/>
        <v>8202272.4592282223</v>
      </c>
      <c r="AZ56" s="63">
        <f t="shared" si="44"/>
        <v>8448340.6330050696</v>
      </c>
      <c r="BA56" s="63">
        <f t="shared" si="44"/>
        <v>8701790.8519952223</v>
      </c>
      <c r="BB56" s="63">
        <f t="shared" si="44"/>
        <v>8962844.577555079</v>
      </c>
      <c r="BC56" s="63">
        <f t="shared" si="44"/>
        <v>9231729.9148817323</v>
      </c>
      <c r="BD56" s="63">
        <f t="shared" si="44"/>
        <v>9508681.812328184</v>
      </c>
      <c r="BE56" s="63">
        <f t="shared" si="44"/>
        <v>9793942.2666980289</v>
      </c>
      <c r="BF56" s="63">
        <f t="shared" si="44"/>
        <v>10087760.534698971</v>
      </c>
      <c r="BG56" s="63">
        <f t="shared" si="44"/>
        <v>10390393.350739939</v>
      </c>
      <c r="BH56" s="63">
        <f t="shared" si="44"/>
        <v>10702105.151262138</v>
      </c>
      <c r="BI56" s="63">
        <f t="shared" si="44"/>
        <v>11023168.305800002</v>
      </c>
      <c r="BJ56" s="63">
        <f t="shared" si="44"/>
        <v>11353863.354974002</v>
      </c>
      <c r="BK56" s="63">
        <f t="shared" si="44"/>
        <v>11694479.255623221</v>
      </c>
      <c r="BL56" s="63">
        <f t="shared" si="44"/>
        <v>12045313.633291919</v>
      </c>
      <c r="BM56" s="63">
        <f t="shared" si="44"/>
        <v>12406673.042290676</v>
      </c>
      <c r="BN56" s="63">
        <f t="shared" si="44"/>
        <v>12778873.233559396</v>
      </c>
      <c r="BO56" s="63">
        <f t="shared" si="44"/>
        <v>13162239.430566179</v>
      </c>
      <c r="BP56" s="63">
        <f t="shared" si="44"/>
        <v>13557106.613483164</v>
      </c>
      <c r="BQ56" s="63">
        <f t="shared" si="44"/>
        <v>13963819.811887659</v>
      </c>
      <c r="BR56" s="63">
        <f t="shared" si="44"/>
        <v>14382734.406244289</v>
      </c>
      <c r="BS56" s="63">
        <f t="shared" si="44"/>
        <v>14814216.438431619</v>
      </c>
      <c r="BT56" s="63">
        <f t="shared" si="44"/>
        <v>15258642.931584567</v>
      </c>
      <c r="BU56" s="63">
        <f t="shared" si="44"/>
        <v>15716402.219532104</v>
      </c>
      <c r="BV56" s="63">
        <f t="shared" si="44"/>
        <v>16187894.286118068</v>
      </c>
      <c r="BW56" s="63">
        <f t="shared" si="44"/>
        <v>16673531.11470161</v>
      </c>
      <c r="BX56" s="63">
        <f t="shared" si="44"/>
        <v>17173737.04814266</v>
      </c>
      <c r="BY56" s="63">
        <f t="shared" si="44"/>
        <v>17688949.15958694</v>
      </c>
      <c r="BZ56" s="63">
        <f t="shared" si="44"/>
        <v>18219617.634374548</v>
      </c>
      <c r="CA56" s="63">
        <f t="shared" si="44"/>
        <v>18766206.163405783</v>
      </c>
      <c r="CB56" s="63">
        <f t="shared" si="44"/>
        <v>19329192.348307956</v>
      </c>
      <c r="CC56" s="63">
        <f t="shared" si="44"/>
        <v>19909068.118757196</v>
      </c>
      <c r="CD56" s="63">
        <f t="shared" si="44"/>
        <v>20506340.162319914</v>
      </c>
      <c r="CE56" s="63">
        <f t="shared" si="44"/>
        <v>21121530.367189512</v>
      </c>
      <c r="CF56" s="63">
        <f t="shared" ref="CF56:CH56" si="45">CE56*(1+$E$6)</f>
        <v>21755176.278205197</v>
      </c>
      <c r="CG56" s="63">
        <f t="shared" si="45"/>
        <v>22407831.566551354</v>
      </c>
      <c r="CH56" s="63">
        <f t="shared" si="45"/>
        <v>23080066.513547894</v>
      </c>
    </row>
    <row r="57" spans="1:86" x14ac:dyDescent="0.25">
      <c r="A57" s="1"/>
      <c r="C57" s="79"/>
      <c r="E57" s="22"/>
      <c r="F57" s="22"/>
      <c r="G57" s="22"/>
      <c r="H57" s="22"/>
      <c r="I57" s="13"/>
      <c r="J57" s="87"/>
      <c r="K57" s="87"/>
      <c r="L57" s="87"/>
      <c r="M57" s="87"/>
      <c r="N57" s="87"/>
      <c r="O57" s="87"/>
      <c r="P57" s="87"/>
      <c r="Q57" s="87"/>
      <c r="R57" s="87"/>
    </row>
    <row r="58" spans="1:86" x14ac:dyDescent="0.25">
      <c r="A58" s="1"/>
      <c r="B58" s="10" t="s">
        <v>27</v>
      </c>
      <c r="C58" s="77"/>
      <c r="D58" s="12">
        <f t="shared" ref="D58:F58" si="46">D54+D45+D48-D51</f>
        <v>-157151</v>
      </c>
      <c r="E58" s="12">
        <f t="shared" si="46"/>
        <v>-156171</v>
      </c>
      <c r="F58" s="12">
        <f t="shared" si="46"/>
        <v>-327660</v>
      </c>
      <c r="G58" s="12">
        <f>G54+G45+G48-G51</f>
        <v>-503248</v>
      </c>
      <c r="H58" s="12">
        <f>H54+H45+H48-H51</f>
        <v>-767710</v>
      </c>
      <c r="I58" s="67">
        <f>I54+I45+I48-I51</f>
        <v>-894946.1</v>
      </c>
      <c r="J58" s="88">
        <f t="shared" ref="J58:R58" si="47">J54+J45+J48-J51</f>
        <v>-676244.47999999998</v>
      </c>
      <c r="K58" s="88">
        <f t="shared" si="47"/>
        <v>-518292.4</v>
      </c>
      <c r="L58" s="88">
        <f t="shared" si="47"/>
        <v>-332526.59999999998</v>
      </c>
      <c r="M58" s="88">
        <f t="shared" si="47"/>
        <v>-159117.59999999998</v>
      </c>
      <c r="N58" s="88">
        <f t="shared" si="47"/>
        <v>177558</v>
      </c>
      <c r="O58" s="88">
        <f t="shared" si="47"/>
        <v>787696.0000000007</v>
      </c>
      <c r="P58" s="88">
        <f t="shared" si="47"/>
        <v>1515975</v>
      </c>
      <c r="Q58" s="88">
        <f t="shared" si="47"/>
        <v>2736935.6</v>
      </c>
      <c r="R58" s="88">
        <f t="shared" si="47"/>
        <v>4024416</v>
      </c>
    </row>
    <row r="59" spans="1:86" x14ac:dyDescent="0.25">
      <c r="A59" s="1"/>
      <c r="B59" s="24" t="s">
        <v>28</v>
      </c>
      <c r="C59" s="77"/>
      <c r="D59" s="1"/>
      <c r="E59" s="1"/>
      <c r="F59" s="1"/>
      <c r="G59" s="1"/>
      <c r="H59" s="1"/>
      <c r="I59" s="66">
        <f t="shared" ref="I59:R59" si="48">I58/((1+$E$5)^I9)</f>
        <v>-799454.44575986825</v>
      </c>
      <c r="J59" s="64">
        <f t="shared" si="48"/>
        <v>-539631.65473575494</v>
      </c>
      <c r="K59" s="64">
        <f t="shared" si="48"/>
        <v>-369458.24852703512</v>
      </c>
      <c r="L59" s="64">
        <f t="shared" si="48"/>
        <v>-211745.29080209232</v>
      </c>
      <c r="M59" s="64">
        <f t="shared" si="48"/>
        <v>-90511.222422135936</v>
      </c>
      <c r="N59" s="64">
        <f t="shared" si="48"/>
        <v>90223.838001823475</v>
      </c>
      <c r="O59" s="64">
        <f t="shared" si="48"/>
        <v>357549.79648830881</v>
      </c>
      <c r="P59" s="64">
        <f t="shared" si="48"/>
        <v>614705.04383025237</v>
      </c>
      <c r="Q59" s="64">
        <f t="shared" si="48"/>
        <v>991370.87997371645</v>
      </c>
      <c r="R59" s="64">
        <f t="shared" si="48"/>
        <v>1302180.8028077732</v>
      </c>
    </row>
    <row r="60" spans="1:86" x14ac:dyDescent="0.25">
      <c r="A60" s="1"/>
      <c r="B60" s="25"/>
      <c r="C60" s="25"/>
      <c r="D60" s="25"/>
      <c r="E60" s="25"/>
      <c r="F60" s="25"/>
      <c r="G60" s="25"/>
      <c r="H60" s="25"/>
      <c r="I60" s="16"/>
      <c r="J60" s="1"/>
      <c r="K60" s="1"/>
      <c r="L60" s="1"/>
      <c r="M60" s="1"/>
      <c r="N60" s="1"/>
      <c r="O60" s="1"/>
      <c r="P60" s="1"/>
      <c r="Q60" s="1"/>
      <c r="R60" s="1"/>
    </row>
    <row r="61" spans="1:86" x14ac:dyDescent="0.25">
      <c r="A61" s="1"/>
      <c r="B61" s="1" t="s">
        <v>29</v>
      </c>
      <c r="C61" s="26">
        <f>(R58*(1+$E$6))/($E$5-$E$6)</f>
        <v>46342456.978619933</v>
      </c>
      <c r="D61" s="1"/>
      <c r="E61" s="1" t="s">
        <v>30</v>
      </c>
      <c r="F61" s="19">
        <f>NPV($E$5,I56:CH56)</f>
        <v>12729740.130246308</v>
      </c>
      <c r="G61" s="1"/>
      <c r="H61" s="1"/>
      <c r="I61" s="16"/>
      <c r="J61" s="1"/>
      <c r="K61" s="1"/>
      <c r="L61" s="1"/>
      <c r="M61" s="1"/>
      <c r="N61" s="1"/>
      <c r="O61" s="1"/>
      <c r="P61" s="1"/>
      <c r="Q61" s="1"/>
    </row>
    <row r="62" spans="1:86" x14ac:dyDescent="0.25">
      <c r="A62" s="1"/>
      <c r="B62" s="3" t="s">
        <v>31</v>
      </c>
      <c r="C62" s="27">
        <f>C61/((1+$E$5)^$R$9)</f>
        <v>14995034.765914854</v>
      </c>
      <c r="D62" s="17"/>
      <c r="E62" s="3"/>
      <c r="F62" s="3"/>
      <c r="G62" s="3"/>
      <c r="H62" s="17"/>
      <c r="I62" s="13"/>
      <c r="J62" s="1"/>
      <c r="L62" s="53" t="s">
        <v>52</v>
      </c>
      <c r="M62" s="54"/>
      <c r="N62" s="54"/>
      <c r="O62" s="54"/>
      <c r="P62" s="54"/>
      <c r="Q62" s="53"/>
    </row>
    <row r="63" spans="1:86" x14ac:dyDescent="0.25">
      <c r="A63" s="1"/>
      <c r="B63" s="6" t="s">
        <v>32</v>
      </c>
      <c r="C63" s="6"/>
      <c r="D63" s="1"/>
      <c r="E63" s="6"/>
      <c r="F63" s="6"/>
      <c r="G63" s="28" t="s">
        <v>33</v>
      </c>
      <c r="H63" s="28" t="s">
        <v>30</v>
      </c>
      <c r="I63" s="16"/>
      <c r="J63" s="1"/>
      <c r="K63" s="53"/>
      <c r="L63" s="55">
        <f>D69</f>
        <v>40.080869161487399</v>
      </c>
      <c r="M63" s="56">
        <v>-0.01</v>
      </c>
      <c r="N63" s="56">
        <v>0.01</v>
      </c>
      <c r="O63" s="56">
        <v>0.03</v>
      </c>
      <c r="P63" s="56">
        <v>0.04</v>
      </c>
      <c r="Q63" s="56">
        <v>0.05</v>
      </c>
    </row>
    <row r="64" spans="1:86" x14ac:dyDescent="0.25">
      <c r="A64" s="1"/>
      <c r="B64" s="29" t="s">
        <v>34</v>
      </c>
      <c r="C64" s="1"/>
      <c r="D64" s="37">
        <v>1593946</v>
      </c>
      <c r="E64" s="1"/>
      <c r="F64" s="1"/>
      <c r="G64" s="26">
        <f>C62+SUM(I59:R59)</f>
        <v>16340264.264769841</v>
      </c>
      <c r="H64" s="19">
        <f>F61</f>
        <v>12729740.130246308</v>
      </c>
      <c r="I64" s="16"/>
      <c r="J64" s="1"/>
      <c r="K64" s="53"/>
      <c r="L64" s="57">
        <f>L65-2%</f>
        <v>7.950416307814584E-2</v>
      </c>
      <c r="M64" s="58">
        <f t="dataTable" ref="M64:Q68" dt2D="1" dtr="1" r1="E6" r2="E5"/>
        <v>56.217604385027968</v>
      </c>
      <c r="N64" s="58">
        <v>71.153464660920662</v>
      </c>
      <c r="O64" s="58">
        <v>97.267450145254514</v>
      </c>
      <c r="P64" s="58">
        <v>119.06569863078508</v>
      </c>
      <c r="Q64" s="58">
        <v>153.25815293819954</v>
      </c>
    </row>
    <row r="65" spans="1:17" x14ac:dyDescent="0.25">
      <c r="A65" s="1"/>
      <c r="B65" s="30" t="s">
        <v>35</v>
      </c>
      <c r="C65" s="3"/>
      <c r="D65" s="31">
        <f>980247-28222</f>
        <v>952025</v>
      </c>
      <c r="E65" s="3"/>
      <c r="F65" s="3"/>
      <c r="G65" s="3"/>
      <c r="H65" s="3"/>
      <c r="I65" s="16"/>
      <c r="J65" s="1"/>
      <c r="K65" s="54"/>
      <c r="L65" s="57">
        <f>L66-2%</f>
        <v>9.9504163078145844E-2</v>
      </c>
      <c r="M65" s="58">
        <v>39.26651804150481</v>
      </c>
      <c r="N65" s="59">
        <v>47.38824081001458</v>
      </c>
      <c r="O65" s="59">
        <v>60.032602850022663</v>
      </c>
      <c r="P65" s="59">
        <v>69.355983671394441</v>
      </c>
      <c r="Q65" s="58">
        <v>82.106947301376351</v>
      </c>
    </row>
    <row r="66" spans="1:17" x14ac:dyDescent="0.25">
      <c r="A66" s="1"/>
      <c r="B66" s="6" t="s">
        <v>36</v>
      </c>
      <c r="C66" s="6"/>
      <c r="D66" s="6"/>
      <c r="E66" s="6"/>
      <c r="F66" s="6"/>
      <c r="G66" s="32">
        <f>(G64+D64-D65)</f>
        <v>16982185.264769841</v>
      </c>
      <c r="H66" s="33">
        <f>(H64+D64-D65)</f>
        <v>13371661.130246308</v>
      </c>
      <c r="I66" s="16"/>
      <c r="J66"/>
      <c r="K66" s="53" t="s">
        <v>1</v>
      </c>
      <c r="L66" s="60">
        <v>0.11950416307814585</v>
      </c>
      <c r="M66" s="58">
        <v>28.34585047693362</v>
      </c>
      <c r="N66" s="59">
        <v>33.135517047538215</v>
      </c>
      <c r="O66" s="61">
        <v>40.036890254214214</v>
      </c>
      <c r="P66" s="59">
        <v>44.755491132549039</v>
      </c>
      <c r="Q66" s="58">
        <v>50.772679081068461</v>
      </c>
    </row>
    <row r="67" spans="1:17" x14ac:dyDescent="0.25">
      <c r="A67" s="1"/>
      <c r="B67" s="3" t="s">
        <v>37</v>
      </c>
      <c r="C67" s="3"/>
      <c r="D67" s="37">
        <f>378657537/1000</f>
        <v>378657.53700000001</v>
      </c>
      <c r="E67" s="3"/>
      <c r="F67" s="3"/>
      <c r="G67" s="3"/>
      <c r="H67" s="3"/>
      <c r="I67" s="16"/>
      <c r="J67" s="1"/>
      <c r="K67" s="53"/>
      <c r="L67" s="62">
        <f>L66+2%</f>
        <v>0.13950416307814584</v>
      </c>
      <c r="M67" s="58">
        <v>20.93876411370254</v>
      </c>
      <c r="N67" s="59">
        <v>23.933755662349341</v>
      </c>
      <c r="O67" s="59">
        <v>28.016845734554703</v>
      </c>
      <c r="P67" s="59">
        <v>30.667047022565086</v>
      </c>
      <c r="Q67" s="58">
        <v>33.89789215644344</v>
      </c>
    </row>
    <row r="68" spans="1:17" x14ac:dyDescent="0.25">
      <c r="A68" s="1"/>
      <c r="B68" s="18" t="s">
        <v>38</v>
      </c>
      <c r="C68" s="18"/>
      <c r="D68" s="18">
        <f>D67*$J$5</f>
        <v>11738383.647</v>
      </c>
      <c r="E68" s="18"/>
      <c r="F68" s="18"/>
      <c r="G68" s="18"/>
      <c r="H68" s="34"/>
      <c r="I68" s="1"/>
      <c r="J68" s="1"/>
      <c r="K68" s="53"/>
      <c r="L68" s="62">
        <f>L67+2%</f>
        <v>0.15950416307814583</v>
      </c>
      <c r="M68" s="58">
        <v>15.723143512046686</v>
      </c>
      <c r="N68" s="58">
        <v>17.680492154704282</v>
      </c>
      <c r="O68" s="58">
        <v>20.241119201847738</v>
      </c>
      <c r="P68" s="58">
        <v>21.841369094565753</v>
      </c>
      <c r="Q68" s="58">
        <v>23.731460523568963</v>
      </c>
    </row>
    <row r="69" spans="1:17" x14ac:dyDescent="0.25">
      <c r="A69" s="1"/>
      <c r="B69" s="6" t="s">
        <v>39</v>
      </c>
      <c r="C69" s="6" t="s">
        <v>40</v>
      </c>
      <c r="D69" s="35">
        <f>(G69+H69)/2</f>
        <v>40.080869161487399</v>
      </c>
      <c r="F69" s="6"/>
      <c r="G69" s="35">
        <f>G66/D67</f>
        <v>44.848401538009902</v>
      </c>
      <c r="H69" s="35">
        <f>H66/D67</f>
        <v>35.313336784964896</v>
      </c>
      <c r="I69" s="16"/>
      <c r="J69" s="1"/>
    </row>
    <row r="70" spans="1:17" x14ac:dyDescent="0.25">
      <c r="A70"/>
      <c r="C70" s="1"/>
      <c r="D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16" sqref="E16"/>
    </sheetView>
  </sheetViews>
  <sheetFormatPr defaultRowHeight="15" x14ac:dyDescent="0.25"/>
  <cols>
    <col min="3" max="3" width="9.85546875" customWidth="1"/>
    <col min="11" max="11" width="10.855468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4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4" x14ac:dyDescent="0.25">
      <c r="A4" s="42" t="s">
        <v>42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3">
        <v>0.03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4">
        <v>1.47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7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3">
        <f>'U DCF'!D68</f>
        <v>11738383.647</v>
      </c>
      <c r="D12" s="2"/>
      <c r="E12" s="2" t="s">
        <v>35</v>
      </c>
      <c r="F12" s="2"/>
      <c r="G12" s="23">
        <f>'U DCF'!D65</f>
        <v>952025</v>
      </c>
      <c r="H12" s="2"/>
      <c r="I12" s="2" t="s">
        <v>47</v>
      </c>
      <c r="J12" s="2"/>
      <c r="K12" s="23">
        <f>G12+C12</f>
        <v>12690408.647</v>
      </c>
      <c r="L12" s="2"/>
    </row>
    <row r="13" spans="1:14" x14ac:dyDescent="0.25">
      <c r="A13" s="2" t="s">
        <v>48</v>
      </c>
      <c r="B13" s="2"/>
      <c r="C13" s="45">
        <f>C12/K12</f>
        <v>0.92498074518466689</v>
      </c>
      <c r="D13" s="2"/>
      <c r="E13" s="2" t="s">
        <v>49</v>
      </c>
      <c r="F13" s="2"/>
      <c r="G13" s="46">
        <f>G12/K12</f>
        <v>7.5019254815333142E-2</v>
      </c>
      <c r="H13" s="2"/>
      <c r="I13" s="2"/>
      <c r="J13" s="2"/>
      <c r="K13" s="2"/>
      <c r="L13" s="2"/>
      <c r="M13" s="37"/>
    </row>
    <row r="14" spans="1:14" x14ac:dyDescent="0.25">
      <c r="A14" s="2" t="s">
        <v>50</v>
      </c>
      <c r="B14" s="2"/>
      <c r="C14" s="47">
        <f>D7+D8*(D9)</f>
        <v>0.12520000000000001</v>
      </c>
      <c r="D14" s="2"/>
      <c r="E14" s="2" t="s">
        <v>51</v>
      </c>
      <c r="F14" s="2"/>
      <c r="G14" s="48">
        <v>0.05</v>
      </c>
      <c r="H14" s="2"/>
      <c r="I14" s="49" t="s">
        <v>1</v>
      </c>
      <c r="J14" s="50"/>
      <c r="K14" s="71">
        <f>C13*C14+G14*G13*(1-D6)</f>
        <v>0.11944602315566397</v>
      </c>
      <c r="L14" s="2"/>
    </row>
    <row r="15" spans="1:14" x14ac:dyDescent="0.25">
      <c r="D15" s="37"/>
      <c r="G15" s="37"/>
      <c r="J15" s="37"/>
      <c r="M15" s="37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7"/>
      <c r="G17" s="37"/>
      <c r="J17" s="37"/>
      <c r="M17" s="37"/>
    </row>
    <row r="21" spans="4:13" x14ac:dyDescent="0.25">
      <c r="D21" s="37"/>
      <c r="E21" s="37"/>
      <c r="F21" s="37"/>
      <c r="G21" s="37"/>
      <c r="H21" s="37"/>
      <c r="I21" s="37"/>
      <c r="J21" s="37"/>
      <c r="K21" s="37"/>
      <c r="L21" s="37"/>
      <c r="M2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2023-06-02T21:06:37Z</dcterms:modified>
</cp:coreProperties>
</file>