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386892D4-732E-4BF0-A81F-7AA71C7B6380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TSN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16" i="1"/>
  <c r="I14" i="1" s="1"/>
  <c r="I11" i="1"/>
  <c r="D63" i="1"/>
  <c r="C12" i="2" s="1"/>
  <c r="G12" i="2"/>
  <c r="D6" i="2"/>
  <c r="D20" i="1"/>
  <c r="D26" i="1" s="1"/>
  <c r="E20" i="1"/>
  <c r="E26" i="1" s="1"/>
  <c r="F20" i="1"/>
  <c r="F26" i="1" s="1"/>
  <c r="G20" i="1"/>
  <c r="G26" i="1" s="1"/>
  <c r="H20" i="1"/>
  <c r="H26" i="1" s="1"/>
  <c r="C20" i="1"/>
  <c r="C26" i="1" s="1"/>
  <c r="H12" i="1"/>
  <c r="C40" i="1"/>
  <c r="C41" i="1" s="1"/>
  <c r="D40" i="1"/>
  <c r="D41" i="1" s="1"/>
  <c r="E40" i="1"/>
  <c r="E16" i="1"/>
  <c r="E29" i="1" s="1"/>
  <c r="E33" i="1" s="1"/>
  <c r="D16" i="1"/>
  <c r="D17" i="1" s="1"/>
  <c r="C16" i="1"/>
  <c r="C29" i="1" s="1"/>
  <c r="C31" i="1" s="1"/>
  <c r="C51" i="1" s="1"/>
  <c r="F41" i="1"/>
  <c r="C14" i="2"/>
  <c r="G12" i="1"/>
  <c r="C47" i="1"/>
  <c r="H47" i="1"/>
  <c r="G47" i="1"/>
  <c r="F47" i="1"/>
  <c r="E47" i="1"/>
  <c r="D47" i="1"/>
  <c r="H44" i="1"/>
  <c r="G44" i="1"/>
  <c r="F44" i="1"/>
  <c r="E44" i="1"/>
  <c r="D44" i="1"/>
  <c r="C44" i="1"/>
  <c r="E41" i="1"/>
  <c r="H41" i="1"/>
  <c r="G41" i="1"/>
  <c r="H16" i="1"/>
  <c r="H17" i="1" s="1"/>
  <c r="G16" i="1"/>
  <c r="G29" i="1" s="1"/>
  <c r="G31" i="1" s="1"/>
  <c r="G51" i="1" s="1"/>
  <c r="F16" i="1"/>
  <c r="F17" i="1" s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27" i="1" l="1"/>
  <c r="E27" i="1"/>
  <c r="G27" i="1"/>
  <c r="E31" i="1"/>
  <c r="E51" i="1" s="1"/>
  <c r="H29" i="1"/>
  <c r="H31" i="1" s="1"/>
  <c r="H51" i="1" s="1"/>
  <c r="K12" i="2"/>
  <c r="G13" i="2" s="1"/>
  <c r="F29" i="1"/>
  <c r="F31" i="1" s="1"/>
  <c r="F51" i="1" s="1"/>
  <c r="D29" i="1"/>
  <c r="D31" i="1" s="1"/>
  <c r="D51" i="1" s="1"/>
  <c r="C33" i="1"/>
  <c r="C49" i="1" s="1"/>
  <c r="C53" i="1" s="1"/>
  <c r="G33" i="1"/>
  <c r="C17" i="1"/>
  <c r="E17" i="1"/>
  <c r="G17" i="1"/>
  <c r="D27" i="1"/>
  <c r="F27" i="1"/>
  <c r="H27" i="1"/>
  <c r="C13" i="2" l="1"/>
  <c r="K14" i="2" s="1"/>
  <c r="E5" i="1" s="1"/>
  <c r="F33" i="1"/>
  <c r="F37" i="1" s="1"/>
  <c r="D33" i="1"/>
  <c r="D49" i="1" s="1"/>
  <c r="D53" i="1" s="1"/>
  <c r="H33" i="1"/>
  <c r="H49" i="1" s="1"/>
  <c r="H53" i="1" s="1"/>
  <c r="G37" i="1"/>
  <c r="G34" i="1"/>
  <c r="G49" i="1"/>
  <c r="G53" i="1" s="1"/>
  <c r="E37" i="1"/>
  <c r="E34" i="1"/>
  <c r="E49" i="1"/>
  <c r="E53" i="1" s="1"/>
  <c r="C37" i="1"/>
  <c r="C34" i="1"/>
  <c r="F49" i="1" l="1"/>
  <c r="F53" i="1" s="1"/>
  <c r="D34" i="1"/>
  <c r="D37" i="1"/>
  <c r="F34" i="1"/>
  <c r="H37" i="1"/>
  <c r="H34" i="1"/>
  <c r="I46" i="1" l="1"/>
  <c r="J11" i="1"/>
  <c r="J43" i="1" l="1"/>
  <c r="J46" i="1"/>
  <c r="J19" i="1"/>
  <c r="J26" i="1" s="1"/>
  <c r="J27" i="1" s="1"/>
  <c r="K11" i="1"/>
  <c r="I19" i="1"/>
  <c r="I43" i="1"/>
  <c r="J16" i="1"/>
  <c r="J40" i="1"/>
  <c r="I40" i="1"/>
  <c r="I26" i="1" l="1"/>
  <c r="I27" i="1" s="1"/>
  <c r="J29" i="1"/>
  <c r="J33" i="1" s="1"/>
  <c r="K19" i="1"/>
  <c r="K26" i="1" s="1"/>
  <c r="K27" i="1" s="1"/>
  <c r="K46" i="1"/>
  <c r="K40" i="1"/>
  <c r="K43" i="1"/>
  <c r="K16" i="1"/>
  <c r="K29" i="1" s="1"/>
  <c r="L11" i="1"/>
  <c r="J14" i="1"/>
  <c r="J31" i="1" l="1"/>
  <c r="K33" i="1"/>
  <c r="K31" i="1"/>
  <c r="I33" i="1"/>
  <c r="I31" i="1"/>
  <c r="L43" i="1"/>
  <c r="L19" i="1"/>
  <c r="L26" i="1" s="1"/>
  <c r="L27" i="1" s="1"/>
  <c r="L46" i="1"/>
  <c r="L16" i="1"/>
  <c r="L29" i="1" s="1"/>
  <c r="M11" i="1"/>
  <c r="L40" i="1"/>
  <c r="K14" i="1"/>
  <c r="J36" i="1"/>
  <c r="J34" i="1"/>
  <c r="J51" i="1" l="1"/>
  <c r="J49" i="1"/>
  <c r="J53" i="1" s="1"/>
  <c r="J54" i="1" s="1"/>
  <c r="L31" i="1"/>
  <c r="L33" i="1"/>
  <c r="I34" i="1"/>
  <c r="I36" i="1"/>
  <c r="I49" i="1" s="1"/>
  <c r="I53" i="1" s="1"/>
  <c r="I54" i="1" s="1"/>
  <c r="M19" i="1"/>
  <c r="M26" i="1" s="1"/>
  <c r="M27" i="1" s="1"/>
  <c r="M46" i="1"/>
  <c r="M40" i="1"/>
  <c r="M16" i="1"/>
  <c r="M43" i="1"/>
  <c r="N11" i="1"/>
  <c r="L14" i="1"/>
  <c r="K34" i="1"/>
  <c r="K36" i="1"/>
  <c r="K51" i="1" s="1"/>
  <c r="I51" i="1" l="1"/>
  <c r="M29" i="1"/>
  <c r="M33" i="1" s="1"/>
  <c r="M14" i="1"/>
  <c r="K49" i="1"/>
  <c r="K53" i="1" s="1"/>
  <c r="K54" i="1" s="1"/>
  <c r="L34" i="1"/>
  <c r="L36" i="1"/>
  <c r="L51" i="1" s="1"/>
  <c r="N19" i="1"/>
  <c r="N26" i="1" s="1"/>
  <c r="N27" i="1" s="1"/>
  <c r="N46" i="1"/>
  <c r="O11" i="1"/>
  <c r="N40" i="1"/>
  <c r="N43" i="1"/>
  <c r="N16" i="1"/>
  <c r="M31" i="1" l="1"/>
  <c r="N29" i="1"/>
  <c r="N33" i="1" s="1"/>
  <c r="N14" i="1"/>
  <c r="L49" i="1"/>
  <c r="L53" i="1" s="1"/>
  <c r="L54" i="1" s="1"/>
  <c r="M34" i="1"/>
  <c r="M36" i="1"/>
  <c r="M51" i="1" s="1"/>
  <c r="O43" i="1"/>
  <c r="O40" i="1"/>
  <c r="O19" i="1"/>
  <c r="O26" i="1" s="1"/>
  <c r="O27" i="1" s="1"/>
  <c r="O16" i="1"/>
  <c r="O46" i="1"/>
  <c r="P11" i="1"/>
  <c r="O29" i="1" l="1"/>
  <c r="O33" i="1" s="1"/>
  <c r="N31" i="1"/>
  <c r="O14" i="1"/>
  <c r="M49" i="1"/>
  <c r="M53" i="1" s="1"/>
  <c r="M54" i="1" s="1"/>
  <c r="N34" i="1"/>
  <c r="N36" i="1"/>
  <c r="N49" i="1" s="1"/>
  <c r="N53" i="1" s="1"/>
  <c r="N54" i="1" s="1"/>
  <c r="P19" i="1"/>
  <c r="P26" i="1" s="1"/>
  <c r="P27" i="1" s="1"/>
  <c r="P46" i="1"/>
  <c r="P43" i="1"/>
  <c r="Q11" i="1"/>
  <c r="P40" i="1"/>
  <c r="P16" i="1"/>
  <c r="O31" i="1"/>
  <c r="P29" i="1" l="1"/>
  <c r="P31" i="1" s="1"/>
  <c r="O34" i="1"/>
  <c r="O36" i="1"/>
  <c r="O49" i="1" s="1"/>
  <c r="O53" i="1" s="1"/>
  <c r="O54" i="1" s="1"/>
  <c r="Q19" i="1"/>
  <c r="Q26" i="1" s="1"/>
  <c r="Q27" i="1" s="1"/>
  <c r="Q40" i="1"/>
  <c r="Q46" i="1"/>
  <c r="Q43" i="1"/>
  <c r="Q16" i="1"/>
  <c r="R11" i="1"/>
  <c r="P14" i="1"/>
  <c r="N51" i="1"/>
  <c r="P33" i="1" l="1"/>
  <c r="O51" i="1"/>
  <c r="R19" i="1"/>
  <c r="R26" i="1" s="1"/>
  <c r="R27" i="1" s="1"/>
  <c r="R46" i="1"/>
  <c r="R16" i="1"/>
  <c r="R29" i="1" s="1"/>
  <c r="R43" i="1"/>
  <c r="R40" i="1"/>
  <c r="Q29" i="1"/>
  <c r="Q14" i="1"/>
  <c r="P34" i="1"/>
  <c r="P36" i="1"/>
  <c r="P51" i="1" s="1"/>
  <c r="P49" i="1" l="1"/>
  <c r="P53" i="1" s="1"/>
  <c r="P54" i="1" s="1"/>
  <c r="Q33" i="1"/>
  <c r="Q31" i="1"/>
  <c r="R33" i="1"/>
  <c r="R31" i="1"/>
  <c r="R14" i="1"/>
  <c r="R36" i="1" l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R34" i="1"/>
  <c r="R49" i="1"/>
  <c r="R53" i="1" s="1"/>
  <c r="Q34" i="1"/>
  <c r="Q36" i="1"/>
  <c r="Q51" i="1" s="1"/>
  <c r="F56" i="1" l="1"/>
  <c r="H59" i="1" s="1"/>
  <c r="H61" i="1" s="1"/>
  <c r="H64" i="1" s="1"/>
  <c r="Q49" i="1"/>
  <c r="Q53" i="1" s="1"/>
  <c r="Q54" i="1" s="1"/>
  <c r="R54" i="1"/>
  <c r="C56" i="1"/>
  <c r="C57" i="1" s="1"/>
  <c r="G59" i="1" l="1"/>
  <c r="G61" i="1" s="1"/>
  <c r="G64" i="1" s="1"/>
  <c r="E64" i="1" s="1"/>
  <c r="J6" i="1" s="1"/>
  <c r="N5" i="1" s="1"/>
  <c r="L60" i="1" l="1"/>
</calcChain>
</file>

<file path=xl/sharedStrings.xml><?xml version="1.0" encoding="utf-8"?>
<sst xmlns="http://schemas.openxmlformats.org/spreadsheetml/2006/main" count="69" uniqueCount="58">
  <si>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</si>
  <si>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</si>
  <si>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</si>
  <si>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</si>
  <si>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</si>
  <si>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</si>
  <si>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</si>
  <si>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</si>
  <si>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</si>
  <si>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</si>
  <si>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</si>
  <si>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</si>
  <si>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</si>
  <si>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</si>
  <si>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</si>
  <si>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</si>
  <si>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</si>
  <si>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</si>
  <si>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</si>
  <si>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</si>
  <si>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</si>
  <si>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</si>
  <si>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</si>
  <si>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</si>
  <si>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</si>
  <si>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</si>
  <si>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</si>
  <si>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</si>
  <si>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</si>
  <si>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</si>
  <si>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</si>
  <si>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</si>
  <si>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</si>
  <si>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</si>
  <si>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</si>
  <si>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</si>
  <si>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</si>
  <si>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</si>
  <si>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</si>
  <si>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</si>
  <si>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</si>
  <si>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</si>
  <si>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</si>
  <si>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</si>
  <si>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</si>
  <si>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</si>
  <si>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</si>
  <si>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</si>
  <si>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</si>
  <si>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</si>
  <si>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</si>
  <si>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Tyson Foods DCF</t>
  </si>
  <si>
    <t>Interest income</t>
  </si>
  <si>
    <t>Interest exp</t>
  </si>
  <si>
    <t>NCI</t>
  </si>
  <si>
    <t xml:space="preserve">                                             Terminal Growth Rate</t>
  </si>
  <si>
    <t>Update: 8/05/2023</t>
  </si>
  <si>
    <t>Old implied price:  72.95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</si>
</sst>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8" fillId="2" borderId="0" xfId="0" applyNumberFormat="1" applyFont="1" applyFill="1"/>
    <xf numFmtId="164" fontId="9" fillId="2" borderId="3" xfId="1" applyNumberFormat="1" applyFont="1" applyFill="1" applyBorder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8" xfId="0" applyFont="1" applyFill="1" applyBorder="1"/>
    <xf numFmtId="0" fontId="3" fillId="2" borderId="9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3" fillId="2" borderId="10" xfId="0" applyFont="1" applyFill="1" applyBorder="1"/>
    <xf numFmtId="0" fontId="0" fillId="2" borderId="5" xfId="0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11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164" fontId="8" fillId="2" borderId="0" xfId="1" applyNumberFormat="1" applyFont="1" applyFill="1" applyBorder="1"/>
    <xf numFmtId="3" fontId="3" fillId="2" borderId="3" xfId="0" applyNumberFormat="1" applyFont="1" applyFill="1" applyBorder="1"/>
    <xf numFmtId="164" fontId="8" fillId="2" borderId="3" xfId="1" applyNumberFormat="1" applyFont="1" applyFill="1" applyBorder="1"/>
    <xf numFmtId="3" fontId="0" fillId="2" borderId="1" xfId="0" applyNumberFormat="1" applyFill="1" applyBorder="1"/>
    <xf numFmtId="164" fontId="9" fillId="2" borderId="0" xfId="1" applyNumberFormat="1" applyFon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12" xfId="0" applyFont="1" applyFill="1" applyBorder="1"/>
    <xf numFmtId="0" fontId="0" fillId="2" borderId="13" xfId="0" applyFill="1" applyBorder="1"/>
    <xf numFmtId="10" fontId="2" fillId="2" borderId="14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10" fontId="9" fillId="2" borderId="3" xfId="1" applyNumberFormat="1" applyFont="1" applyFill="1" applyBorder="1"/>
    <xf numFmtId="10" fontId="9" fillId="2" borderId="0" xfId="1" applyNumberFormat="1" applyFont="1" applyFill="1" applyBorder="1"/>
    <xf numFmtId="3" fontId="3" fillId="0" borderId="3" xfId="0" applyNumberFormat="1" applyFont="1" applyBorder="1"/>
    <xf numFmtId="1" fontId="3" fillId="2" borderId="15" xfId="0" applyNumberFormat="1" applyFont="1" applyFill="1" applyBorder="1"/>
    <xf numFmtId="0" fontId="3" fillId="2" borderId="16" xfId="0" applyFont="1" applyFill="1" applyBorder="1"/>
    <xf numFmtId="10" fontId="8" fillId="2" borderId="3" xfId="0" applyNumberFormat="1" applyFont="1" applyFill="1" applyBorder="1"/>
    <xf numFmtId="1" fontId="0" fillId="0" borderId="0" xfId="0" applyNumberFormat="1"/>
    <xf numFmtId="164" fontId="9" fillId="2" borderId="3" xfId="0" applyNumberFormat="1" applyFont="1" applyFill="1" applyBorder="1"/>
    <xf numFmtId="164" fontId="9" fillId="2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164" fontId="0" fillId="8" borderId="0" xfId="0" applyNumberFormat="1" applyFill="1"/>
    <xf numFmtId="1" fontId="3" fillId="2" borderId="5" xfId="0" applyNumberFormat="1" applyFont="1" applyFill="1" applyBorder="1"/>
    <xf numFmtId="164" fontId="9" fillId="2" borderId="0" xfId="1" applyNumberFormat="1" applyFont="1" applyFill="1"/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10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11" fillId="10" borderId="0" xfId="0" applyNumberFormat="1" applyFont="1" applyFill="1" applyAlignment="1">
      <alignment horizontal="center"/>
    </xf>
    <xf numFmtId="1" fontId="3" fillId="2" borderId="6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topLeftCell="B55" zoomScaleNormal="100" workbookViewId="0">
      <selection activeCell="J63" sqref="J63"/>
    </sheetView>
  </sheetViews>
  <sheetFormatPr defaultRowHeight="15" x14ac:dyDescent="0.25"/>
  <cols>
    <col min="1" max="1" width="9.140625" style="2"/>
    <col min="2" max="2" width="17.28515625" style="2" customWidth="1"/>
    <col min="3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6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63" customFormat="1" ht="23.25" x14ac:dyDescent="0.35">
      <c r="A2" s="3"/>
      <c r="B2" s="4" t="s">
        <v>51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2"/>
    </row>
    <row r="3" spans="1:18" s="6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6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63" customFormat="1" x14ac:dyDescent="0.25">
      <c r="A5" s="1"/>
      <c r="B5" s="1"/>
      <c r="C5" s="7" t="s">
        <v>1</v>
      </c>
      <c r="D5" s="1"/>
      <c r="E5" s="8">
        <f>WACC!K14</f>
        <v>8.3353084988836132E-2</v>
      </c>
      <c r="F5" s="2"/>
      <c r="G5" s="1"/>
      <c r="H5" s="1" t="s">
        <v>2</v>
      </c>
      <c r="I5" s="1"/>
      <c r="J5" s="7">
        <v>50.72</v>
      </c>
      <c r="K5" s="1"/>
      <c r="L5" s="1" t="s">
        <v>3</v>
      </c>
      <c r="M5" s="1"/>
      <c r="N5" s="7">
        <f>(J6/J5)-1</f>
        <v>0.38240337087344356</v>
      </c>
      <c r="O5" s="1"/>
      <c r="P5" s="1" t="s">
        <v>56</v>
      </c>
      <c r="Q5" s="1"/>
      <c r="R5" s="2"/>
    </row>
    <row r="6" spans="1:18" s="63" customFormat="1" x14ac:dyDescent="0.25">
      <c r="A6" s="1"/>
      <c r="B6" s="1"/>
      <c r="C6" s="7" t="s">
        <v>4</v>
      </c>
      <c r="D6" s="1"/>
      <c r="E6" s="8">
        <v>-0.01</v>
      </c>
      <c r="F6" s="2"/>
      <c r="G6" s="1"/>
      <c r="H6" s="1" t="s">
        <v>5</v>
      </c>
      <c r="I6" s="1"/>
      <c r="J6" s="81">
        <f>E64</f>
        <v>70.115498970701054</v>
      </c>
      <c r="K6" s="1"/>
      <c r="L6" s="1"/>
      <c r="M6" s="1"/>
      <c r="N6" s="1"/>
      <c r="O6" s="1"/>
      <c r="P6" s="1" t="s">
        <v>57</v>
      </c>
      <c r="Q6" s="1"/>
      <c r="R6" s="2"/>
    </row>
    <row r="7" spans="1:18" s="6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9"/>
      <c r="L7" s="82"/>
      <c r="M7" s="1"/>
      <c r="N7" s="1"/>
      <c r="O7" s="1"/>
      <c r="P7" s="1"/>
      <c r="Q7" s="1"/>
      <c r="R7" s="2"/>
    </row>
    <row r="8" spans="1:18" s="6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9"/>
      <c r="L8" s="1"/>
      <c r="M8" s="1"/>
      <c r="N8" s="1"/>
      <c r="O8" s="1"/>
      <c r="P8" s="1"/>
      <c r="Q8" s="1"/>
      <c r="R8" s="2"/>
    </row>
    <row r="9" spans="1:18" s="6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6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88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63" customFormat="1" x14ac:dyDescent="0.25">
      <c r="A11" s="1"/>
      <c r="B11" s="1" t="s">
        <v>7</v>
      </c>
      <c r="C11" s="11">
        <v>38260</v>
      </c>
      <c r="D11" s="11">
        <v>40052</v>
      </c>
      <c r="E11" s="11">
        <v>42405</v>
      </c>
      <c r="F11" s="11">
        <v>43185</v>
      </c>
      <c r="G11" s="11">
        <v>47049</v>
      </c>
      <c r="H11" s="11">
        <v>53282</v>
      </c>
      <c r="I11" s="23">
        <f>H11*(1+I12)</f>
        <v>53015.59</v>
      </c>
      <c r="J11" s="19">
        <f>I11*(1+J12)</f>
        <v>53969.870619999994</v>
      </c>
      <c r="K11" s="19">
        <f t="shared" ref="K11:R11" si="1">J11*(1+K12)</f>
        <v>54617.509067439998</v>
      </c>
      <c r="L11" s="19">
        <f t="shared" si="1"/>
        <v>54344.421522102799</v>
      </c>
      <c r="M11" s="19">
        <f t="shared" si="1"/>
        <v>54996.554580368036</v>
      </c>
      <c r="N11" s="19">
        <f t="shared" si="1"/>
        <v>55656.513235332452</v>
      </c>
      <c r="O11" s="19">
        <f t="shared" si="1"/>
        <v>55099.948102979128</v>
      </c>
      <c r="P11" s="19">
        <f t="shared" si="1"/>
        <v>54548.948621949334</v>
      </c>
      <c r="Q11" s="19">
        <f t="shared" si="1"/>
        <v>54003.459135729841</v>
      </c>
      <c r="R11" s="19">
        <f t="shared" si="1"/>
        <v>53463.424544372545</v>
      </c>
    </row>
    <row r="12" spans="1:18" s="63" customFormat="1" x14ac:dyDescent="0.25">
      <c r="A12" s="1"/>
      <c r="B12" s="13" t="s">
        <v>8</v>
      </c>
      <c r="C12" s="14"/>
      <c r="D12" s="14">
        <f>(D11/C11)-1</f>
        <v>4.6837428123366331E-2</v>
      </c>
      <c r="E12" s="14">
        <f>(E11/D11)-1</f>
        <v>5.8748626785179336E-2</v>
      </c>
      <c r="F12" s="14">
        <f>(F11/E11)-1</f>
        <v>1.8394057304563116E-2</v>
      </c>
      <c r="G12" s="14">
        <f>(G11/F11)-1</f>
        <v>8.9475512330670304E-2</v>
      </c>
      <c r="H12" s="14">
        <f>(H11/G11)-1</f>
        <v>0.13247890497141279</v>
      </c>
      <c r="I12" s="21">
        <v>-5.0000000000000001E-3</v>
      </c>
      <c r="J12" s="50">
        <v>1.7999999999999999E-2</v>
      </c>
      <c r="K12" s="50">
        <v>1.2E-2</v>
      </c>
      <c r="L12" s="50">
        <v>-5.0000000000000001E-3</v>
      </c>
      <c r="M12" s="50">
        <v>1.2E-2</v>
      </c>
      <c r="N12" s="50">
        <v>1.2E-2</v>
      </c>
      <c r="O12" s="50">
        <v>-0.01</v>
      </c>
      <c r="P12" s="50">
        <v>-0.01</v>
      </c>
      <c r="Q12" s="50">
        <v>-0.01</v>
      </c>
      <c r="R12" s="50">
        <v>-0.01</v>
      </c>
    </row>
    <row r="13" spans="1:18" s="6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83"/>
      <c r="K13" s="83"/>
      <c r="L13" s="83"/>
      <c r="M13" s="83"/>
      <c r="N13" s="83"/>
      <c r="O13" s="83"/>
      <c r="P13" s="83"/>
      <c r="Q13" s="83"/>
      <c r="R13" s="83"/>
    </row>
    <row r="14" spans="1:18" s="63" customFormat="1" x14ac:dyDescent="0.25">
      <c r="A14" s="1"/>
      <c r="B14" s="1" t="s">
        <v>9</v>
      </c>
      <c r="C14" s="11">
        <v>33198</v>
      </c>
      <c r="D14" s="11">
        <v>34956</v>
      </c>
      <c r="E14" s="11">
        <v>37383</v>
      </c>
      <c r="F14" s="11">
        <v>37801</v>
      </c>
      <c r="G14" s="11">
        <v>40523</v>
      </c>
      <c r="H14" s="11">
        <v>46614</v>
      </c>
      <c r="I14" s="68">
        <f t="shared" ref="I14:R14" si="2">I11-I16</f>
        <v>48604.692911999999</v>
      </c>
      <c r="J14" s="79">
        <f t="shared" si="2"/>
        <v>48950.672652339992</v>
      </c>
      <c r="K14" s="79">
        <f t="shared" si="2"/>
        <v>48609.583070021596</v>
      </c>
      <c r="L14" s="79">
        <f t="shared" si="2"/>
        <v>48094.813047060976</v>
      </c>
      <c r="M14" s="79">
        <f t="shared" si="2"/>
        <v>48396.968030723874</v>
      </c>
      <c r="N14" s="79">
        <f t="shared" si="2"/>
        <v>48977.731647092558</v>
      </c>
      <c r="O14" s="79">
        <f t="shared" si="2"/>
        <v>48322.654486312698</v>
      </c>
      <c r="P14" s="79">
        <f t="shared" si="2"/>
        <v>47839.427941449569</v>
      </c>
      <c r="Q14" s="79">
        <f t="shared" si="2"/>
        <v>47361.033662035072</v>
      </c>
      <c r="R14" s="79">
        <f t="shared" si="2"/>
        <v>46887.423325414726</v>
      </c>
    </row>
    <row r="15" spans="1:18" s="63" customFormat="1" x14ac:dyDescent="0.25">
      <c r="A15" s="1"/>
      <c r="B15" s="18"/>
      <c r="C15" s="18"/>
      <c r="D15" s="18"/>
      <c r="E15" s="18"/>
      <c r="F15" s="18"/>
      <c r="G15" s="18"/>
      <c r="H15" s="18"/>
      <c r="I15" s="69"/>
      <c r="J15" s="1"/>
      <c r="K15" s="1"/>
      <c r="L15" s="1"/>
      <c r="M15" s="1"/>
      <c r="N15" s="1"/>
      <c r="O15" s="1"/>
      <c r="P15" s="1"/>
      <c r="Q15" s="1"/>
      <c r="R15" s="2"/>
    </row>
    <row r="16" spans="1:18" s="63" customFormat="1" x14ac:dyDescent="0.25">
      <c r="A16" s="1"/>
      <c r="B16" s="1" t="s">
        <v>10</v>
      </c>
      <c r="C16" s="11">
        <f t="shared" ref="C16:H16" si="3">C11-C14</f>
        <v>5062</v>
      </c>
      <c r="D16" s="11">
        <f t="shared" si="3"/>
        <v>5096</v>
      </c>
      <c r="E16" s="11">
        <f t="shared" si="3"/>
        <v>5022</v>
      </c>
      <c r="F16" s="11">
        <f t="shared" si="3"/>
        <v>5384</v>
      </c>
      <c r="G16" s="11">
        <f t="shared" si="3"/>
        <v>6526</v>
      </c>
      <c r="H16" s="11">
        <f t="shared" si="3"/>
        <v>6668</v>
      </c>
      <c r="I16" s="23">
        <f>I11*I17</f>
        <v>4410.8970879999997</v>
      </c>
      <c r="J16" s="19">
        <f t="shared" ref="J16:R16" si="4">J11*J17</f>
        <v>5019.1979676599994</v>
      </c>
      <c r="K16" s="19">
        <f>K11*K17</f>
        <v>6007.9259974183997</v>
      </c>
      <c r="L16" s="19">
        <f t="shared" si="4"/>
        <v>6249.6084750418222</v>
      </c>
      <c r="M16" s="19">
        <f t="shared" si="4"/>
        <v>6599.5865496441638</v>
      </c>
      <c r="N16" s="19">
        <f t="shared" si="4"/>
        <v>6678.7815882398936</v>
      </c>
      <c r="O16" s="19">
        <f t="shared" si="4"/>
        <v>6777.2936166664322</v>
      </c>
      <c r="P16" s="19">
        <f t="shared" si="4"/>
        <v>6709.5206804997679</v>
      </c>
      <c r="Q16" s="19">
        <f t="shared" si="4"/>
        <v>6642.4254736947705</v>
      </c>
      <c r="R16" s="19">
        <f t="shared" si="4"/>
        <v>6576.0012189578229</v>
      </c>
    </row>
    <row r="17" spans="1:18" s="63" customFormat="1" x14ac:dyDescent="0.25">
      <c r="A17" s="1"/>
      <c r="B17" s="13" t="s">
        <v>11</v>
      </c>
      <c r="C17" s="14">
        <f t="shared" ref="C17:H17" si="5">C16/C11</f>
        <v>0.13230527966544695</v>
      </c>
      <c r="D17" s="14">
        <f t="shared" si="5"/>
        <v>0.12723459502646559</v>
      </c>
      <c r="E17" s="14">
        <f t="shared" si="5"/>
        <v>0.1184294304916873</v>
      </c>
      <c r="F17" s="14">
        <f t="shared" si="5"/>
        <v>0.12467291883755934</v>
      </c>
      <c r="G17" s="14">
        <f t="shared" si="5"/>
        <v>0.1387064549724755</v>
      </c>
      <c r="H17" s="14">
        <f t="shared" si="5"/>
        <v>0.12514545249802936</v>
      </c>
      <c r="I17" s="70">
        <v>8.3199999999999996E-2</v>
      </c>
      <c r="J17" s="20">
        <v>9.2999999999999999E-2</v>
      </c>
      <c r="K17" s="20">
        <v>0.11</v>
      </c>
      <c r="L17" s="20">
        <v>0.115</v>
      </c>
      <c r="M17" s="20">
        <v>0.12</v>
      </c>
      <c r="N17" s="20">
        <v>0.12</v>
      </c>
      <c r="O17" s="20">
        <v>0.123</v>
      </c>
      <c r="P17" s="20">
        <v>0.123</v>
      </c>
      <c r="Q17" s="20">
        <v>0.123</v>
      </c>
      <c r="R17" s="20">
        <v>0.123</v>
      </c>
    </row>
    <row r="18" spans="1:18" s="63" customFormat="1" x14ac:dyDescent="0.25">
      <c r="A18" s="1"/>
      <c r="B18" s="1"/>
      <c r="C18" s="11"/>
      <c r="D18" s="11"/>
      <c r="E18" s="11"/>
      <c r="F18" s="11"/>
      <c r="G18" s="11"/>
      <c r="H18" s="11"/>
      <c r="I18" s="23"/>
      <c r="J18" s="19"/>
      <c r="K18" s="19"/>
      <c r="L18" s="19"/>
      <c r="M18" s="19"/>
      <c r="N18" s="19"/>
      <c r="O18" s="19"/>
      <c r="P18" s="19"/>
      <c r="Q18" s="19"/>
      <c r="R18" s="19"/>
    </row>
    <row r="19" spans="1:18" s="63" customFormat="1" x14ac:dyDescent="0.25">
      <c r="A19" s="1"/>
      <c r="B19" s="1" t="s">
        <v>40</v>
      </c>
      <c r="C19" s="11">
        <v>2141</v>
      </c>
      <c r="D19" s="11">
        <v>2064</v>
      </c>
      <c r="E19" s="11">
        <v>2195</v>
      </c>
      <c r="F19" s="11">
        <v>2376</v>
      </c>
      <c r="G19" s="11">
        <v>2130</v>
      </c>
      <c r="H19" s="11">
        <v>2258</v>
      </c>
      <c r="I19" s="23">
        <f t="shared" ref="I19:R19" si="6">I20*I11</f>
        <v>2544.7483199999997</v>
      </c>
      <c r="J19" s="19">
        <f t="shared" si="6"/>
        <v>2968.3428840999995</v>
      </c>
      <c r="K19" s="19">
        <f t="shared" si="6"/>
        <v>2730.8754533720003</v>
      </c>
      <c r="L19" s="19">
        <f t="shared" si="6"/>
        <v>2717.2210761051401</v>
      </c>
      <c r="M19" s="19">
        <f t="shared" si="6"/>
        <v>2887.3191154693218</v>
      </c>
      <c r="N19" s="19">
        <f t="shared" si="6"/>
        <v>2921.9669448549535</v>
      </c>
      <c r="O19" s="19">
        <f t="shared" si="6"/>
        <v>2892.7472754064042</v>
      </c>
      <c r="P19" s="19">
        <f t="shared" si="6"/>
        <v>2863.8198026523401</v>
      </c>
      <c r="Q19" s="19">
        <f t="shared" si="6"/>
        <v>2835.1816046258164</v>
      </c>
      <c r="R19" s="19">
        <f t="shared" si="6"/>
        <v>2806.8297885795587</v>
      </c>
    </row>
    <row r="20" spans="1:18" s="63" customFormat="1" x14ac:dyDescent="0.25">
      <c r="A20" s="1"/>
      <c r="B20" s="13" t="s">
        <v>17</v>
      </c>
      <c r="C20" s="14">
        <f t="shared" ref="C20:H20" si="7">C19/C11</f>
        <v>5.5959226346053319E-2</v>
      </c>
      <c r="D20" s="14">
        <f t="shared" si="7"/>
        <v>5.1533007090781985E-2</v>
      </c>
      <c r="E20" s="14">
        <f t="shared" si="7"/>
        <v>5.1762763825020632E-2</v>
      </c>
      <c r="F20" s="14">
        <f t="shared" si="7"/>
        <v>5.5019103855505382E-2</v>
      </c>
      <c r="G20" s="14">
        <f t="shared" si="7"/>
        <v>4.5271950519670978E-2</v>
      </c>
      <c r="H20" s="14">
        <f t="shared" si="7"/>
        <v>4.2378289103261892E-2</v>
      </c>
      <c r="I20" s="65">
        <v>4.8000000000000001E-2</v>
      </c>
      <c r="J20" s="66">
        <v>5.5E-2</v>
      </c>
      <c r="K20" s="66">
        <v>0.05</v>
      </c>
      <c r="L20" s="66">
        <v>0.05</v>
      </c>
      <c r="M20" s="66">
        <v>5.2499999999999998E-2</v>
      </c>
      <c r="N20" s="66">
        <v>5.2499999999999998E-2</v>
      </c>
      <c r="O20" s="66">
        <v>5.2499999999999998E-2</v>
      </c>
      <c r="P20" s="66">
        <v>5.2499999999999998E-2</v>
      </c>
      <c r="Q20" s="66">
        <v>5.2499999999999998E-2</v>
      </c>
      <c r="R20" s="66">
        <v>5.2499999999999998E-2</v>
      </c>
    </row>
    <row r="21" spans="1:18" s="63" customFormat="1" x14ac:dyDescent="0.25">
      <c r="A21" s="1"/>
      <c r="B21" s="1"/>
      <c r="C21" s="11"/>
      <c r="D21" s="11"/>
      <c r="E21" s="11"/>
      <c r="F21" s="11"/>
      <c r="G21" s="11"/>
      <c r="H21" s="11"/>
      <c r="I21" s="23"/>
      <c r="J21" s="19"/>
      <c r="K21" s="19"/>
      <c r="L21" s="19"/>
      <c r="M21" s="19"/>
      <c r="N21" s="19"/>
      <c r="O21" s="19"/>
      <c r="P21" s="19"/>
      <c r="Q21" s="19"/>
      <c r="R21" s="19"/>
    </row>
    <row r="22" spans="1:18" s="63" customFormat="1" x14ac:dyDescent="0.25">
      <c r="A22" s="1"/>
      <c r="B22" s="1" t="s">
        <v>53</v>
      </c>
      <c r="C22" s="11">
        <v>279</v>
      </c>
      <c r="D22" s="11">
        <v>350</v>
      </c>
      <c r="E22" s="11">
        <v>462</v>
      </c>
      <c r="F22" s="11">
        <v>485</v>
      </c>
      <c r="G22" s="11">
        <v>428</v>
      </c>
      <c r="H22" s="11">
        <v>365</v>
      </c>
      <c r="I22" s="47">
        <v>360</v>
      </c>
      <c r="J22" s="11">
        <v>483.16190476190502</v>
      </c>
      <c r="K22" s="11">
        <v>502.790476190476</v>
      </c>
      <c r="L22" s="11">
        <v>522.419047619048</v>
      </c>
      <c r="M22" s="11">
        <v>542.04761904761904</v>
      </c>
      <c r="N22" s="11">
        <v>561.67619047619098</v>
      </c>
      <c r="O22" s="11">
        <v>581.30476190476202</v>
      </c>
      <c r="P22" s="11">
        <v>600.93333333333396</v>
      </c>
      <c r="Q22" s="11">
        <v>620.561904761905</v>
      </c>
      <c r="R22" s="11">
        <v>640.19047619047603</v>
      </c>
    </row>
    <row r="23" spans="1:18" s="63" customFormat="1" x14ac:dyDescent="0.25">
      <c r="A23" s="1"/>
      <c r="B23" s="1" t="s">
        <v>52</v>
      </c>
      <c r="C23" s="11">
        <v>-7</v>
      </c>
      <c r="D23" s="11">
        <v>-7</v>
      </c>
      <c r="E23" s="11">
        <v>-11</v>
      </c>
      <c r="F23" s="11">
        <v>-10</v>
      </c>
      <c r="G23" s="11">
        <v>-8</v>
      </c>
      <c r="H23" s="11">
        <v>-17</v>
      </c>
      <c r="I23" s="47">
        <v>-9</v>
      </c>
      <c r="J23" s="11">
        <v>-16.685714285714301</v>
      </c>
      <c r="K23" s="11">
        <v>-18.171428571428599</v>
      </c>
      <c r="L23" s="11">
        <v>-19.657142857142901</v>
      </c>
      <c r="M23" s="11">
        <v>-21.142857142857199</v>
      </c>
      <c r="N23" s="11">
        <v>-22.628571428571401</v>
      </c>
      <c r="O23" s="11">
        <v>-24.1142857142857</v>
      </c>
      <c r="P23" s="11">
        <v>-25.6</v>
      </c>
      <c r="Q23" s="11">
        <v>-27.0857142857143</v>
      </c>
      <c r="R23" s="11">
        <v>-28.571428571428601</v>
      </c>
    </row>
    <row r="24" spans="1:18" s="63" customFormat="1" x14ac:dyDescent="0.25">
      <c r="A24" s="1"/>
      <c r="B24" s="1" t="s">
        <v>12</v>
      </c>
      <c r="C24" s="11">
        <v>21</v>
      </c>
      <c r="D24" s="11">
        <v>-56</v>
      </c>
      <c r="E24" s="11">
        <v>-55</v>
      </c>
      <c r="F24" s="11">
        <v>-131</v>
      </c>
      <c r="G24" s="11">
        <v>-65</v>
      </c>
      <c r="H24" s="11">
        <v>-87</v>
      </c>
      <c r="I24" s="47">
        <v>-100</v>
      </c>
      <c r="J24" s="11">
        <v>-144.83809523809501</v>
      </c>
      <c r="K24" s="11">
        <v>-163.209523809524</v>
      </c>
      <c r="L24" s="11">
        <v>-181.580952380952</v>
      </c>
      <c r="M24" s="11">
        <v>-199.95238095238099</v>
      </c>
      <c r="N24" s="11">
        <v>-218.32380952380899</v>
      </c>
      <c r="O24" s="11">
        <v>-236.69523809523801</v>
      </c>
      <c r="P24" s="11">
        <v>-255.066666666667</v>
      </c>
      <c r="Q24" s="11">
        <v>-273.438095238095</v>
      </c>
      <c r="R24" s="11">
        <v>-291.80952380952402</v>
      </c>
    </row>
    <row r="25" spans="1:18" s="63" customFormat="1" x14ac:dyDescent="0.25">
      <c r="A25" s="1"/>
      <c r="B25" s="1"/>
      <c r="C25" s="1"/>
      <c r="D25" s="1"/>
      <c r="E25" s="1"/>
      <c r="F25" s="1"/>
      <c r="G25" s="1"/>
      <c r="H25" s="1"/>
      <c r="I25" s="12"/>
      <c r="J25" s="1"/>
      <c r="K25" s="1"/>
      <c r="L25" s="1"/>
      <c r="M25" s="1"/>
      <c r="N25" s="1"/>
      <c r="O25" s="1"/>
      <c r="P25" s="1"/>
      <c r="Q25" s="1"/>
      <c r="R25" s="2"/>
    </row>
    <row r="26" spans="1:18" s="63" customFormat="1" x14ac:dyDescent="0.25">
      <c r="A26" s="1"/>
      <c r="B26" s="1" t="s">
        <v>13</v>
      </c>
      <c r="C26" s="11">
        <f t="shared" ref="C26:H26" si="8">SUM(C18:C24)</f>
        <v>2434.0559592263462</v>
      </c>
      <c r="D26" s="11">
        <f t="shared" si="8"/>
        <v>2351.0515330070907</v>
      </c>
      <c r="E26" s="11">
        <f t="shared" si="8"/>
        <v>2591.0517627638251</v>
      </c>
      <c r="F26" s="11">
        <f t="shared" si="8"/>
        <v>2720.0550191038556</v>
      </c>
      <c r="G26" s="11">
        <f t="shared" si="8"/>
        <v>2485.0452719505197</v>
      </c>
      <c r="H26" s="11">
        <f t="shared" si="8"/>
        <v>2519.0423782891035</v>
      </c>
      <c r="I26" s="47">
        <f>SUM(I18:I24)</f>
        <v>2795.7963199999995</v>
      </c>
      <c r="J26" s="11">
        <f>SUM(J18:J24)</f>
        <v>3290.0359793380953</v>
      </c>
      <c r="K26" s="11">
        <f t="shared" ref="K26:R26" si="9">SUM(K18:K24)</f>
        <v>3052.3349771815238</v>
      </c>
      <c r="L26" s="11">
        <f t="shared" si="9"/>
        <v>3038.4520284860932</v>
      </c>
      <c r="M26" s="11">
        <f t="shared" si="9"/>
        <v>3208.3239964217018</v>
      </c>
      <c r="N26" s="11">
        <f t="shared" si="9"/>
        <v>3242.743254378764</v>
      </c>
      <c r="O26" s="11">
        <f t="shared" si="9"/>
        <v>3213.2950135016422</v>
      </c>
      <c r="P26" s="11">
        <f t="shared" si="9"/>
        <v>3184.1389693190067</v>
      </c>
      <c r="Q26" s="11">
        <f t="shared" si="9"/>
        <v>3155.2721998639117</v>
      </c>
      <c r="R26" s="11">
        <f t="shared" si="9"/>
        <v>3126.6918123890823</v>
      </c>
    </row>
    <row r="27" spans="1:18" s="63" customFormat="1" x14ac:dyDescent="0.25">
      <c r="A27" s="1"/>
      <c r="B27" s="13" t="s">
        <v>17</v>
      </c>
      <c r="C27" s="14">
        <f t="shared" ref="C27:R27" si="10">C26/C11</f>
        <v>6.3618817543814585E-2</v>
      </c>
      <c r="D27" s="14">
        <f t="shared" si="10"/>
        <v>5.8699978353317951E-2</v>
      </c>
      <c r="E27" s="14">
        <f t="shared" si="10"/>
        <v>6.1102505901752743E-2</v>
      </c>
      <c r="F27" s="14">
        <f t="shared" si="10"/>
        <v>6.2986106729277652E-2</v>
      </c>
      <c r="G27" s="14">
        <f t="shared" si="10"/>
        <v>5.2818237836096828E-2</v>
      </c>
      <c r="H27" s="14">
        <f t="shared" si="10"/>
        <v>4.7277549234058469E-2</v>
      </c>
      <c r="I27" s="21">
        <f>I26/I11</f>
        <v>5.2735361805838613E-2</v>
      </c>
      <c r="J27" s="80">
        <f t="shared" si="10"/>
        <v>6.0960605269987131E-2</v>
      </c>
      <c r="K27" s="80">
        <f t="shared" si="10"/>
        <v>5.588564966250284E-2</v>
      </c>
      <c r="L27" s="80">
        <f t="shared" si="10"/>
        <v>5.5911019813695194E-2</v>
      </c>
      <c r="M27" s="80">
        <f t="shared" si="10"/>
        <v>5.8336818022541509E-2</v>
      </c>
      <c r="N27" s="80">
        <f t="shared" si="10"/>
        <v>5.8263499919002683E-2</v>
      </c>
      <c r="O27" s="80">
        <f t="shared" si="10"/>
        <v>5.8317568784205562E-2</v>
      </c>
      <c r="P27" s="80">
        <f t="shared" si="10"/>
        <v>5.8372141897484291E-2</v>
      </c>
      <c r="Q27" s="80">
        <f t="shared" si="10"/>
        <v>5.8427223929000432E-2</v>
      </c>
      <c r="R27" s="80">
        <f t="shared" si="10"/>
        <v>5.8482819591813666E-2</v>
      </c>
    </row>
    <row r="28" spans="1:18" s="63" customFormat="1" x14ac:dyDescent="0.25">
      <c r="A28" s="1"/>
      <c r="B28" s="1"/>
      <c r="C28" s="14"/>
      <c r="D28" s="14"/>
      <c r="E28" s="14"/>
      <c r="F28" s="14"/>
      <c r="G28" s="14"/>
      <c r="H28" s="14"/>
      <c r="I28" s="22"/>
      <c r="J28" s="14"/>
      <c r="K28" s="14"/>
      <c r="L28" s="14"/>
      <c r="M28" s="14"/>
      <c r="N28" s="14"/>
      <c r="O28" s="14"/>
      <c r="P28" s="14"/>
      <c r="Q28" s="14"/>
      <c r="R28" s="14"/>
    </row>
    <row r="29" spans="1:18" s="63" customFormat="1" x14ac:dyDescent="0.25">
      <c r="A29" s="1"/>
      <c r="B29" s="1" t="s">
        <v>14</v>
      </c>
      <c r="C29" s="11">
        <f t="shared" ref="C29:R29" si="11">C16-C18-C19</f>
        <v>2921</v>
      </c>
      <c r="D29" s="11">
        <f t="shared" si="11"/>
        <v>3032</v>
      </c>
      <c r="E29" s="11">
        <f t="shared" si="11"/>
        <v>2827</v>
      </c>
      <c r="F29" s="11">
        <f t="shared" si="11"/>
        <v>3008</v>
      </c>
      <c r="G29" s="11">
        <f t="shared" si="11"/>
        <v>4396</v>
      </c>
      <c r="H29" s="11">
        <f t="shared" si="11"/>
        <v>4410</v>
      </c>
      <c r="I29" s="47">
        <f>I16-I18-I19</f>
        <v>1866.148768</v>
      </c>
      <c r="J29" s="11">
        <f t="shared" si="11"/>
        <v>2050.8550835599999</v>
      </c>
      <c r="K29" s="11">
        <f t="shared" si="11"/>
        <v>3277.0505440463994</v>
      </c>
      <c r="L29" s="11">
        <f t="shared" si="11"/>
        <v>3532.3873989366821</v>
      </c>
      <c r="M29" s="11">
        <f>M16-M18-M19</f>
        <v>3712.267434174842</v>
      </c>
      <c r="N29" s="11">
        <f t="shared" si="11"/>
        <v>3756.8146433849402</v>
      </c>
      <c r="O29" s="11">
        <f t="shared" si="11"/>
        <v>3884.5463412600279</v>
      </c>
      <c r="P29" s="11">
        <f t="shared" si="11"/>
        <v>3845.7008778474278</v>
      </c>
      <c r="Q29" s="11">
        <f t="shared" si="11"/>
        <v>3807.2438690689542</v>
      </c>
      <c r="R29" s="11">
        <f t="shared" si="11"/>
        <v>3769.1714303782642</v>
      </c>
    </row>
    <row r="30" spans="1:18" s="63" customFormat="1" x14ac:dyDescent="0.25">
      <c r="A30" s="1"/>
      <c r="B30" s="1"/>
      <c r="C30" s="25"/>
      <c r="D30" s="25"/>
      <c r="E30" s="25"/>
      <c r="F30" s="25"/>
      <c r="G30" s="25"/>
      <c r="H30" s="25"/>
      <c r="I30" s="26"/>
      <c r="J30" s="2"/>
      <c r="K30" s="2"/>
      <c r="L30" s="2"/>
      <c r="M30" s="2"/>
      <c r="N30" s="2"/>
      <c r="O30" s="2"/>
      <c r="P30" s="2"/>
      <c r="Q30" s="2"/>
      <c r="R30" s="2"/>
    </row>
    <row r="31" spans="1:18" s="63" customFormat="1" x14ac:dyDescent="0.25">
      <c r="A31" s="1"/>
      <c r="B31" s="1" t="s">
        <v>15</v>
      </c>
      <c r="C31" s="11">
        <f t="shared" ref="C31:H31" si="12">C29-C23-C24-C22</f>
        <v>2628</v>
      </c>
      <c r="D31" s="11">
        <f t="shared" si="12"/>
        <v>2745</v>
      </c>
      <c r="E31" s="11">
        <f t="shared" si="12"/>
        <v>2431</v>
      </c>
      <c r="F31" s="11">
        <f t="shared" si="12"/>
        <v>2664</v>
      </c>
      <c r="G31" s="11">
        <f t="shared" si="12"/>
        <v>4041</v>
      </c>
      <c r="H31" s="11">
        <f t="shared" si="12"/>
        <v>4149</v>
      </c>
      <c r="I31" s="47">
        <f>I29-I23-I24-I22</f>
        <v>1615.148768</v>
      </c>
      <c r="J31" s="11">
        <f t="shared" ref="J31:R31" si="13">J29-J23-J24-J22</f>
        <v>1729.216988321904</v>
      </c>
      <c r="K31" s="11">
        <f t="shared" si="13"/>
        <v>2955.6410202368761</v>
      </c>
      <c r="L31" s="11">
        <f t="shared" si="13"/>
        <v>3211.2064465557291</v>
      </c>
      <c r="M31" s="11">
        <f t="shared" si="13"/>
        <v>3391.3150532224618</v>
      </c>
      <c r="N31" s="11">
        <f t="shared" si="13"/>
        <v>3436.0908338611293</v>
      </c>
      <c r="O31" s="11">
        <f t="shared" si="13"/>
        <v>3564.0511031647902</v>
      </c>
      <c r="P31" s="11">
        <f t="shared" si="13"/>
        <v>3525.4342111807605</v>
      </c>
      <c r="Q31" s="11">
        <f t="shared" si="13"/>
        <v>3487.2057738308586</v>
      </c>
      <c r="R31" s="11">
        <f t="shared" si="13"/>
        <v>3449.3619065687403</v>
      </c>
    </row>
    <row r="32" spans="1:18" s="63" customFormat="1" x14ac:dyDescent="0.25">
      <c r="A32" s="1"/>
      <c r="B32" s="1"/>
      <c r="C32" s="25"/>
      <c r="D32" s="25"/>
      <c r="E32" s="25"/>
      <c r="F32" s="25"/>
      <c r="G32" s="25"/>
      <c r="H32" s="25"/>
      <c r="I32" s="12"/>
      <c r="J32" s="1"/>
      <c r="K32" s="1"/>
      <c r="L32" s="1"/>
      <c r="M32" s="1"/>
      <c r="N32" s="1"/>
      <c r="O32" s="1"/>
      <c r="P32" s="1"/>
      <c r="Q32" s="1"/>
      <c r="R32" s="2"/>
    </row>
    <row r="33" spans="1:86" s="63" customFormat="1" x14ac:dyDescent="0.25">
      <c r="A33" s="1"/>
      <c r="B33" s="1" t="s">
        <v>16</v>
      </c>
      <c r="C33" s="11">
        <f t="shared" ref="C33:H33" si="14">C29</f>
        <v>2921</v>
      </c>
      <c r="D33" s="11">
        <f t="shared" si="14"/>
        <v>3032</v>
      </c>
      <c r="E33" s="11">
        <f t="shared" si="14"/>
        <v>2827</v>
      </c>
      <c r="F33" s="11">
        <f t="shared" si="14"/>
        <v>3008</v>
      </c>
      <c r="G33" s="11">
        <f t="shared" si="14"/>
        <v>4396</v>
      </c>
      <c r="H33" s="11">
        <f t="shared" si="14"/>
        <v>4410</v>
      </c>
      <c r="I33" s="47">
        <f>I29</f>
        <v>1866.148768</v>
      </c>
      <c r="J33" s="11">
        <f t="shared" ref="J33:R33" si="15">J29</f>
        <v>2050.8550835599999</v>
      </c>
      <c r="K33" s="11">
        <f t="shared" si="15"/>
        <v>3277.0505440463994</v>
      </c>
      <c r="L33" s="11">
        <f t="shared" si="15"/>
        <v>3532.3873989366821</v>
      </c>
      <c r="M33" s="11">
        <f>M29</f>
        <v>3712.267434174842</v>
      </c>
      <c r="N33" s="11">
        <f t="shared" si="15"/>
        <v>3756.8146433849402</v>
      </c>
      <c r="O33" s="11">
        <f t="shared" si="15"/>
        <v>3884.5463412600279</v>
      </c>
      <c r="P33" s="11">
        <f t="shared" si="15"/>
        <v>3845.7008778474278</v>
      </c>
      <c r="Q33" s="11">
        <f t="shared" si="15"/>
        <v>3807.2438690689542</v>
      </c>
      <c r="R33" s="11">
        <f t="shared" si="15"/>
        <v>3769.1714303782642</v>
      </c>
    </row>
    <row r="34" spans="1:86" s="63" customFormat="1" x14ac:dyDescent="0.25">
      <c r="A34" s="1"/>
      <c r="B34" s="13" t="s">
        <v>17</v>
      </c>
      <c r="C34" s="14">
        <f t="shared" ref="C34:H34" si="16">C33/C11</f>
        <v>7.634605331939362E-2</v>
      </c>
      <c r="D34" s="14">
        <f t="shared" si="16"/>
        <v>7.5701587935683615E-2</v>
      </c>
      <c r="E34" s="14">
        <f t="shared" si="16"/>
        <v>6.6666666666666666E-2</v>
      </c>
      <c r="F34" s="14">
        <f t="shared" si="16"/>
        <v>6.965381498205396E-2</v>
      </c>
      <c r="G34" s="14">
        <f t="shared" si="16"/>
        <v>9.3434504452804518E-2</v>
      </c>
      <c r="H34" s="14">
        <f t="shared" si="16"/>
        <v>8.276716339476746E-2</v>
      </c>
      <c r="I34" s="48">
        <f>I33/I11</f>
        <v>3.5200000000000002E-2</v>
      </c>
      <c r="J34" s="46">
        <f t="shared" ref="J34:R34" si="17">J33/J11</f>
        <v>3.7999999999999999E-2</v>
      </c>
      <c r="K34" s="46">
        <f t="shared" si="17"/>
        <v>5.9999999999999991E-2</v>
      </c>
      <c r="L34" s="46">
        <f t="shared" si="17"/>
        <v>6.5000000000000002E-2</v>
      </c>
      <c r="M34" s="46">
        <f t="shared" si="17"/>
        <v>6.7499999999999991E-2</v>
      </c>
      <c r="N34" s="46">
        <f t="shared" si="17"/>
        <v>6.7499999999999991E-2</v>
      </c>
      <c r="O34" s="46">
        <f t="shared" si="17"/>
        <v>7.0499999999999993E-2</v>
      </c>
      <c r="P34" s="46">
        <f t="shared" si="17"/>
        <v>7.0499999999999993E-2</v>
      </c>
      <c r="Q34" s="46">
        <f t="shared" si="17"/>
        <v>7.0500000000000007E-2</v>
      </c>
      <c r="R34" s="46">
        <f t="shared" si="17"/>
        <v>7.0499999999999993E-2</v>
      </c>
    </row>
    <row r="35" spans="1:86" s="6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2"/>
      <c r="P35" s="2"/>
      <c r="Q35" s="2"/>
      <c r="R35" s="2"/>
    </row>
    <row r="36" spans="1:86" s="63" customFormat="1" x14ac:dyDescent="0.25">
      <c r="A36" s="1"/>
      <c r="B36" s="1" t="s">
        <v>18</v>
      </c>
      <c r="C36" s="11">
        <v>850</v>
      </c>
      <c r="D36" s="11">
        <v>-282</v>
      </c>
      <c r="E36" s="27">
        <v>396</v>
      </c>
      <c r="F36" s="11">
        <v>593</v>
      </c>
      <c r="G36" s="11">
        <v>981</v>
      </c>
      <c r="H36" s="11">
        <v>900</v>
      </c>
      <c r="I36" s="23">
        <f>I33*I37</f>
        <v>367.63130729600005</v>
      </c>
      <c r="J36" s="19">
        <f t="shared" ref="J36:R36" si="18">J33*J37</f>
        <v>430.67956754759996</v>
      </c>
      <c r="K36" s="19">
        <f t="shared" si="18"/>
        <v>688.18061424974383</v>
      </c>
      <c r="L36" s="19">
        <f t="shared" si="18"/>
        <v>741.80135377670319</v>
      </c>
      <c r="M36" s="19">
        <f t="shared" si="18"/>
        <v>779.57616117671682</v>
      </c>
      <c r="N36" s="19">
        <f t="shared" si="18"/>
        <v>788.93107511083736</v>
      </c>
      <c r="O36" s="19">
        <f t="shared" si="18"/>
        <v>815.75473166460586</v>
      </c>
      <c r="P36" s="19">
        <f t="shared" si="18"/>
        <v>807.5971843479598</v>
      </c>
      <c r="Q36" s="19">
        <f t="shared" si="18"/>
        <v>799.52121250448033</v>
      </c>
      <c r="R36" s="19">
        <f t="shared" si="18"/>
        <v>791.52600037943546</v>
      </c>
    </row>
    <row r="37" spans="1:86" s="63" customFormat="1" x14ac:dyDescent="0.25">
      <c r="A37" s="1"/>
      <c r="B37" s="13" t="s">
        <v>19</v>
      </c>
      <c r="C37" s="24">
        <f t="shared" ref="C37:H37" si="19">C36/C33</f>
        <v>0.29099623416638137</v>
      </c>
      <c r="D37" s="24">
        <f t="shared" si="19"/>
        <v>-9.3007915567282329E-2</v>
      </c>
      <c r="E37" s="24">
        <f t="shared" si="19"/>
        <v>0.14007782101167315</v>
      </c>
      <c r="F37" s="24">
        <f t="shared" si="19"/>
        <v>0.19714095744680851</v>
      </c>
      <c r="G37" s="24">
        <f t="shared" si="19"/>
        <v>0.22315741583257506</v>
      </c>
      <c r="H37" s="24">
        <f t="shared" si="19"/>
        <v>0.20408163265306123</v>
      </c>
      <c r="I37" s="70">
        <v>0.19700000000000001</v>
      </c>
      <c r="J37" s="20">
        <v>0.21</v>
      </c>
      <c r="K37" s="20">
        <v>0.21</v>
      </c>
      <c r="L37" s="20">
        <v>0.21</v>
      </c>
      <c r="M37" s="20">
        <v>0.21</v>
      </c>
      <c r="N37" s="20">
        <v>0.21</v>
      </c>
      <c r="O37" s="20">
        <v>0.21</v>
      </c>
      <c r="P37" s="20">
        <v>0.21</v>
      </c>
      <c r="Q37" s="20">
        <v>0.21</v>
      </c>
      <c r="R37" s="20">
        <v>0.21</v>
      </c>
    </row>
    <row r="38" spans="1:86" s="6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2"/>
    </row>
    <row r="39" spans="1:86" s="63" customFormat="1" x14ac:dyDescent="0.25">
      <c r="A39" s="1"/>
      <c r="B39" s="9" t="s">
        <v>20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89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63" customFormat="1" x14ac:dyDescent="0.25">
      <c r="A40" s="1"/>
      <c r="B40" s="1" t="s">
        <v>21</v>
      </c>
      <c r="C40" s="11">
        <f>642+119</f>
        <v>761</v>
      </c>
      <c r="D40" s="11">
        <f>723+220</f>
        <v>943</v>
      </c>
      <c r="E40" s="27">
        <f>819+279</f>
        <v>1098</v>
      </c>
      <c r="F40" s="11">
        <v>1237</v>
      </c>
      <c r="G40" s="11">
        <v>1225</v>
      </c>
      <c r="H40" s="11">
        <v>1202</v>
      </c>
      <c r="I40" s="23">
        <f t="shared" ref="I40:R40" si="20">I41*I11</f>
        <v>1272.3741599999998</v>
      </c>
      <c r="J40" s="19">
        <f t="shared" si="20"/>
        <v>1349.2467655</v>
      </c>
      <c r="K40" s="19">
        <f t="shared" si="20"/>
        <v>1583.9077629557601</v>
      </c>
      <c r="L40" s="19">
        <f t="shared" si="20"/>
        <v>1575.9882241409812</v>
      </c>
      <c r="M40" s="19">
        <f t="shared" si="20"/>
        <v>1594.9000828306732</v>
      </c>
      <c r="N40" s="19">
        <f t="shared" si="20"/>
        <v>1614.0388838246413</v>
      </c>
      <c r="O40" s="19">
        <f t="shared" si="20"/>
        <v>1597.8984949863948</v>
      </c>
      <c r="P40" s="19">
        <f t="shared" si="20"/>
        <v>1581.9195100365307</v>
      </c>
      <c r="Q40" s="19">
        <f t="shared" si="20"/>
        <v>1566.1003149361654</v>
      </c>
      <c r="R40" s="19">
        <f t="shared" si="20"/>
        <v>1550.439311786804</v>
      </c>
    </row>
    <row r="41" spans="1:86" s="63" customFormat="1" x14ac:dyDescent="0.25">
      <c r="A41" s="1"/>
      <c r="B41" s="13" t="s">
        <v>17</v>
      </c>
      <c r="C41" s="14">
        <f t="shared" ref="C41:H41" si="21">C40/C11</f>
        <v>1.989022477783586E-2</v>
      </c>
      <c r="D41" s="14">
        <f t="shared" si="21"/>
        <v>2.3544392290022972E-2</v>
      </c>
      <c r="E41" s="14">
        <f t="shared" si="21"/>
        <v>2.5893172974885036E-2</v>
      </c>
      <c r="F41" s="14">
        <f t="shared" si="21"/>
        <v>2.8644205163830032E-2</v>
      </c>
      <c r="G41" s="14">
        <f t="shared" si="21"/>
        <v>2.6036685158026738E-2</v>
      </c>
      <c r="H41" s="14">
        <f t="shared" si="21"/>
        <v>2.2559213242746144E-2</v>
      </c>
      <c r="I41" s="48">
        <v>2.4E-2</v>
      </c>
      <c r="J41" s="46">
        <v>2.5000000000000001E-2</v>
      </c>
      <c r="K41" s="46">
        <v>2.9000000000000001E-2</v>
      </c>
      <c r="L41" s="46">
        <v>2.9000000000000001E-2</v>
      </c>
      <c r="M41" s="46">
        <v>2.9000000000000001E-2</v>
      </c>
      <c r="N41" s="46">
        <v>2.9000000000000001E-2</v>
      </c>
      <c r="O41" s="46">
        <v>2.9000000000000001E-2</v>
      </c>
      <c r="P41" s="46">
        <v>2.9000000000000001E-2</v>
      </c>
      <c r="Q41" s="46">
        <v>2.9000000000000001E-2</v>
      </c>
      <c r="R41" s="46">
        <v>2.9000000000000001E-2</v>
      </c>
    </row>
    <row r="42" spans="1:86" s="6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2"/>
      <c r="P42" s="2"/>
      <c r="Q42" s="2"/>
      <c r="R42" s="2"/>
    </row>
    <row r="43" spans="1:86" s="63" customFormat="1" x14ac:dyDescent="0.25">
      <c r="A43" s="1"/>
      <c r="B43" s="1" t="s">
        <v>22</v>
      </c>
      <c r="C43" s="11">
        <v>-1069</v>
      </c>
      <c r="D43" s="11">
        <v>-1200</v>
      </c>
      <c r="E43" s="27">
        <v>-1259</v>
      </c>
      <c r="F43" s="45">
        <v>-1199</v>
      </c>
      <c r="G43" s="11">
        <v>-1209</v>
      </c>
      <c r="H43" s="11">
        <v>-1887</v>
      </c>
      <c r="I43" s="23">
        <f t="shared" ref="I43:R43" si="22">I44*I11</f>
        <v>-2491.7327299999997</v>
      </c>
      <c r="J43" s="19">
        <f t="shared" si="22"/>
        <v>-1996.8852129399997</v>
      </c>
      <c r="K43" s="19">
        <f t="shared" si="22"/>
        <v>-1747.7602901580799</v>
      </c>
      <c r="L43" s="19">
        <f t="shared" si="22"/>
        <v>-1412.9549595746728</v>
      </c>
      <c r="M43" s="19">
        <f t="shared" si="22"/>
        <v>-1429.9104190895689</v>
      </c>
      <c r="N43" s="19">
        <f t="shared" si="22"/>
        <v>-1447.0693441186436</v>
      </c>
      <c r="O43" s="19">
        <f t="shared" si="22"/>
        <v>-1432.5986506774573</v>
      </c>
      <c r="P43" s="19">
        <f t="shared" si="22"/>
        <v>-1472.8216127926321</v>
      </c>
      <c r="Q43" s="19">
        <f t="shared" si="22"/>
        <v>-1458.0933966647058</v>
      </c>
      <c r="R43" s="19">
        <f t="shared" si="22"/>
        <v>-1443.5124626980587</v>
      </c>
    </row>
    <row r="44" spans="1:86" s="63" customFormat="1" x14ac:dyDescent="0.25">
      <c r="A44" s="1"/>
      <c r="B44" s="13" t="s">
        <v>17</v>
      </c>
      <c r="C44" s="14">
        <f t="shared" ref="C44:H44" si="23">C43/C11</f>
        <v>-2.7940407736539465E-2</v>
      </c>
      <c r="D44" s="14">
        <f t="shared" si="23"/>
        <v>-2.9961050634175573E-2</v>
      </c>
      <c r="E44" s="14">
        <f t="shared" si="23"/>
        <v>-2.9689895059544866E-2</v>
      </c>
      <c r="F44" s="14">
        <f t="shared" si="23"/>
        <v>-2.7764270001157811E-2</v>
      </c>
      <c r="G44" s="14">
        <f t="shared" si="23"/>
        <v>-2.5696614168207614E-2</v>
      </c>
      <c r="H44" s="14">
        <f t="shared" si="23"/>
        <v>-3.5415337262114786E-2</v>
      </c>
      <c r="I44" s="21">
        <v>-4.7E-2</v>
      </c>
      <c r="J44" s="50">
        <v>-3.6999999999999998E-2</v>
      </c>
      <c r="K44" s="50">
        <v>-3.2000000000000001E-2</v>
      </c>
      <c r="L44" s="50">
        <v>-2.5999999999999999E-2</v>
      </c>
      <c r="M44" s="50">
        <v>-2.5999999999999999E-2</v>
      </c>
      <c r="N44" s="50">
        <v>-2.5999999999999999E-2</v>
      </c>
      <c r="O44" s="50">
        <v>-2.5999999999999999E-2</v>
      </c>
      <c r="P44" s="50">
        <v>-2.7E-2</v>
      </c>
      <c r="Q44" s="50">
        <v>-2.7E-2</v>
      </c>
      <c r="R44" s="50">
        <v>-2.7E-2</v>
      </c>
    </row>
    <row r="45" spans="1:86" s="6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2"/>
      <c r="P45" s="2"/>
      <c r="Q45" s="2"/>
      <c r="R45" s="2"/>
    </row>
    <row r="46" spans="1:86" s="63" customFormat="1" x14ac:dyDescent="0.25">
      <c r="A46" s="1"/>
      <c r="B46" s="1" t="s">
        <v>23</v>
      </c>
      <c r="C46" s="1">
        <v>150</v>
      </c>
      <c r="D46" s="1">
        <v>286</v>
      </c>
      <c r="E46" s="2">
        <v>846</v>
      </c>
      <c r="F46" s="1">
        <v>-580</v>
      </c>
      <c r="G46" s="1">
        <v>-381</v>
      </c>
      <c r="H46" s="1">
        <v>2104</v>
      </c>
      <c r="I46" s="23">
        <f t="shared" ref="I46:R46" si="24">I47*I11</f>
        <v>1060.3117999999999</v>
      </c>
      <c r="J46" s="19">
        <f t="shared" si="24"/>
        <v>485.7288355799999</v>
      </c>
      <c r="K46" s="19">
        <f t="shared" si="24"/>
        <v>491.55758160695996</v>
      </c>
      <c r="L46" s="19">
        <f t="shared" si="24"/>
        <v>489.09979369892517</v>
      </c>
      <c r="M46" s="19">
        <f t="shared" si="24"/>
        <v>494.96899122331229</v>
      </c>
      <c r="N46" s="19">
        <f t="shared" si="24"/>
        <v>500.90861911799203</v>
      </c>
      <c r="O46" s="19">
        <f t="shared" si="24"/>
        <v>495.89953292681213</v>
      </c>
      <c r="P46" s="19">
        <f t="shared" si="24"/>
        <v>490.94053759754399</v>
      </c>
      <c r="Q46" s="19">
        <f t="shared" si="24"/>
        <v>486.03113222156855</v>
      </c>
      <c r="R46" s="19">
        <f t="shared" si="24"/>
        <v>481.17082089935286</v>
      </c>
    </row>
    <row r="47" spans="1:86" s="63" customFormat="1" x14ac:dyDescent="0.25">
      <c r="A47" s="1"/>
      <c r="B47" s="13" t="s">
        <v>17</v>
      </c>
      <c r="C47" s="14">
        <f t="shared" ref="C47:H47" si="25">C46/C11</f>
        <v>3.9205436487192886E-3</v>
      </c>
      <c r="D47" s="14">
        <f t="shared" si="25"/>
        <v>7.1407170678118442E-3</v>
      </c>
      <c r="E47" s="14">
        <f t="shared" si="25"/>
        <v>1.9950477538026177E-2</v>
      </c>
      <c r="F47" s="14">
        <f t="shared" si="25"/>
        <v>-1.3430589324997105E-2</v>
      </c>
      <c r="G47" s="14">
        <f t="shared" si="25"/>
        <v>-8.0979404450679075E-3</v>
      </c>
      <c r="H47" s="14">
        <f t="shared" si="25"/>
        <v>3.9488007206936675E-2</v>
      </c>
      <c r="I47" s="72">
        <v>0.02</v>
      </c>
      <c r="J47" s="73">
        <v>8.9999999999999993E-3</v>
      </c>
      <c r="K47" s="73">
        <v>8.9999999999999993E-3</v>
      </c>
      <c r="L47" s="73">
        <v>8.9999999999999993E-3</v>
      </c>
      <c r="M47" s="73">
        <v>8.9999999999999993E-3</v>
      </c>
      <c r="N47" s="73">
        <v>8.9999999999999993E-3</v>
      </c>
      <c r="O47" s="73">
        <v>8.9999999999999993E-3</v>
      </c>
      <c r="P47" s="73">
        <v>8.9999999999999993E-3</v>
      </c>
      <c r="Q47" s="73">
        <v>8.9999999999999993E-3</v>
      </c>
      <c r="R47" s="73">
        <v>8.9999999999999993E-3</v>
      </c>
    </row>
    <row r="48" spans="1:86" s="6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2"/>
    </row>
    <row r="49" spans="1:86" s="63" customFormat="1" x14ac:dyDescent="0.25">
      <c r="A49" s="1"/>
      <c r="B49" s="9" t="s">
        <v>24</v>
      </c>
      <c r="C49" s="11">
        <f t="shared" ref="C49:H49" si="26">C33-C36</f>
        <v>2071</v>
      </c>
      <c r="D49" s="11">
        <f t="shared" si="26"/>
        <v>3314</v>
      </c>
      <c r="E49" s="11">
        <f t="shared" si="26"/>
        <v>2431</v>
      </c>
      <c r="F49" s="11">
        <f t="shared" si="26"/>
        <v>2415</v>
      </c>
      <c r="G49" s="11">
        <f t="shared" si="26"/>
        <v>3415</v>
      </c>
      <c r="H49" s="11">
        <f t="shared" si="26"/>
        <v>3510</v>
      </c>
      <c r="I49" s="47">
        <f t="shared" ref="I49" si="27">I33-I36</f>
        <v>1498.5174607039999</v>
      </c>
      <c r="J49" s="11">
        <f t="shared" ref="J49:R49" si="28">J33-J36</f>
        <v>1620.1755160123998</v>
      </c>
      <c r="K49" s="11">
        <f t="shared" si="28"/>
        <v>2588.8699297966555</v>
      </c>
      <c r="L49" s="11">
        <f t="shared" si="28"/>
        <v>2790.5860451599788</v>
      </c>
      <c r="M49" s="11">
        <f t="shared" si="28"/>
        <v>2932.691272998125</v>
      </c>
      <c r="N49" s="11">
        <f t="shared" si="28"/>
        <v>2967.8835682741028</v>
      </c>
      <c r="O49" s="11">
        <f t="shared" si="28"/>
        <v>3068.791609595422</v>
      </c>
      <c r="P49" s="11">
        <f t="shared" si="28"/>
        <v>3038.1036934994681</v>
      </c>
      <c r="Q49" s="11">
        <f t="shared" si="28"/>
        <v>3007.7226565644737</v>
      </c>
      <c r="R49" s="11">
        <f t="shared" si="28"/>
        <v>2977.6454299988286</v>
      </c>
    </row>
    <row r="50" spans="1:86" s="63" customFormat="1" x14ac:dyDescent="0.25">
      <c r="A50" s="1"/>
      <c r="B50" s="9" t="s">
        <v>54</v>
      </c>
      <c r="C50" s="11">
        <v>4</v>
      </c>
      <c r="D50" s="11">
        <v>3</v>
      </c>
      <c r="E50" s="11">
        <v>13</v>
      </c>
      <c r="F50" s="11">
        <v>10</v>
      </c>
      <c r="G50" s="11">
        <v>13</v>
      </c>
      <c r="H50">
        <v>11</v>
      </c>
      <c r="I50" s="47">
        <v>15.2</v>
      </c>
      <c r="J50" s="11">
        <v>16.9714285714286</v>
      </c>
      <c r="K50" s="11">
        <v>18.742857142857201</v>
      </c>
      <c r="L50" s="11">
        <v>20.514285714285698</v>
      </c>
      <c r="M50" s="11">
        <v>22.285714285714299</v>
      </c>
      <c r="N50" s="71">
        <v>24.0571428571429</v>
      </c>
      <c r="O50" s="11">
        <v>25.8285714285715</v>
      </c>
      <c r="P50" s="11">
        <v>27.6</v>
      </c>
      <c r="Q50" s="11">
        <v>29.371428571428599</v>
      </c>
      <c r="R50" s="11">
        <v>31.142857142857199</v>
      </c>
    </row>
    <row r="51" spans="1:86" s="63" customFormat="1" x14ac:dyDescent="0.25">
      <c r="A51" s="1"/>
      <c r="B51" s="9" t="s">
        <v>25</v>
      </c>
      <c r="C51" s="11">
        <f t="shared" ref="C51:H51" si="29">C31-C36-C50</f>
        <v>1774</v>
      </c>
      <c r="D51" s="11">
        <f t="shared" si="29"/>
        <v>3024</v>
      </c>
      <c r="E51" s="11">
        <f t="shared" si="29"/>
        <v>2022</v>
      </c>
      <c r="F51" s="11">
        <f t="shared" si="29"/>
        <v>2061</v>
      </c>
      <c r="G51" s="11">
        <f t="shared" si="29"/>
        <v>3047</v>
      </c>
      <c r="H51" s="11">
        <f t="shared" si="29"/>
        <v>3238</v>
      </c>
      <c r="I51" s="47">
        <f>I31-I36-I50</f>
        <v>1232.3174607039998</v>
      </c>
      <c r="J51" s="11">
        <f t="shared" ref="J51:R51" si="30">J31-J36-J50</f>
        <v>1281.5659922028753</v>
      </c>
      <c r="K51" s="11">
        <f t="shared" si="30"/>
        <v>2248.7175488442749</v>
      </c>
      <c r="L51" s="11">
        <f t="shared" si="30"/>
        <v>2448.8908070647403</v>
      </c>
      <c r="M51" s="11">
        <f t="shared" si="30"/>
        <v>2589.4531777600309</v>
      </c>
      <c r="N51" s="11">
        <f t="shared" si="30"/>
        <v>2623.102615893149</v>
      </c>
      <c r="O51" s="11">
        <f t="shared" si="30"/>
        <v>2722.4678000716126</v>
      </c>
      <c r="P51" s="11">
        <f t="shared" si="30"/>
        <v>2690.2370268328009</v>
      </c>
      <c r="Q51" s="11">
        <f t="shared" si="30"/>
        <v>2658.3131327549495</v>
      </c>
      <c r="R51" s="11">
        <f t="shared" si="30"/>
        <v>2626.6930490464474</v>
      </c>
      <c r="S51" s="64">
        <f>R51*(1+$E$6)</f>
        <v>2600.4261185559831</v>
      </c>
      <c r="T51" s="64">
        <f t="shared" ref="T51:CE51" si="31">S51*(1+$E$6)</f>
        <v>2574.4218573704234</v>
      </c>
      <c r="U51" s="64">
        <f t="shared" si="31"/>
        <v>2548.6776387967193</v>
      </c>
      <c r="V51" s="64">
        <f t="shared" si="31"/>
        <v>2523.1908624087519</v>
      </c>
      <c r="W51" s="64">
        <f t="shared" si="31"/>
        <v>2497.9589537846641</v>
      </c>
      <c r="X51" s="64">
        <f t="shared" si="31"/>
        <v>2472.9793642468176</v>
      </c>
      <c r="Y51" s="64">
        <f t="shared" si="31"/>
        <v>2448.2495706043492</v>
      </c>
      <c r="Z51" s="64">
        <f t="shared" si="31"/>
        <v>2423.7670748983055</v>
      </c>
      <c r="AA51" s="64">
        <f t="shared" si="31"/>
        <v>2399.5294041493225</v>
      </c>
      <c r="AB51" s="64">
        <f t="shared" si="31"/>
        <v>2375.5341101078293</v>
      </c>
      <c r="AC51" s="64">
        <f t="shared" si="31"/>
        <v>2351.7787690067512</v>
      </c>
      <c r="AD51" s="64">
        <f t="shared" si="31"/>
        <v>2328.2609813166837</v>
      </c>
      <c r="AE51" s="64">
        <f t="shared" si="31"/>
        <v>2304.9783715035169</v>
      </c>
      <c r="AF51" s="64">
        <f t="shared" si="31"/>
        <v>2281.9285877884818</v>
      </c>
      <c r="AG51" s="64">
        <f t="shared" si="31"/>
        <v>2259.109301910597</v>
      </c>
      <c r="AH51" s="64">
        <f t="shared" si="31"/>
        <v>2236.5182088914908</v>
      </c>
      <c r="AI51" s="64">
        <f t="shared" si="31"/>
        <v>2214.1530268025758</v>
      </c>
      <c r="AJ51" s="64">
        <f t="shared" si="31"/>
        <v>2192.0114965345501</v>
      </c>
      <c r="AK51" s="64">
        <f t="shared" si="31"/>
        <v>2170.0913815692047</v>
      </c>
      <c r="AL51" s="64">
        <f t="shared" si="31"/>
        <v>2148.3904677535124</v>
      </c>
      <c r="AM51" s="64">
        <f t="shared" si="31"/>
        <v>2126.9065630759774</v>
      </c>
      <c r="AN51" s="64">
        <f t="shared" si="31"/>
        <v>2105.6374974452174</v>
      </c>
      <c r="AO51" s="64">
        <f t="shared" si="31"/>
        <v>2084.581122470765</v>
      </c>
      <c r="AP51" s="64">
        <f t="shared" si="31"/>
        <v>2063.7353112460573</v>
      </c>
      <c r="AQ51" s="64">
        <f t="shared" si="31"/>
        <v>2043.0979581335966</v>
      </c>
      <c r="AR51" s="64">
        <f t="shared" si="31"/>
        <v>2022.6669785522606</v>
      </c>
      <c r="AS51" s="64">
        <f t="shared" si="31"/>
        <v>2002.4403087667381</v>
      </c>
      <c r="AT51" s="64">
        <f t="shared" si="31"/>
        <v>1982.4159056790706</v>
      </c>
      <c r="AU51" s="64">
        <f t="shared" si="31"/>
        <v>1962.59174662228</v>
      </c>
      <c r="AV51" s="64">
        <f t="shared" si="31"/>
        <v>1942.9658291560572</v>
      </c>
      <c r="AW51" s="64">
        <f t="shared" si="31"/>
        <v>1923.5361708644966</v>
      </c>
      <c r="AX51" s="64">
        <f t="shared" si="31"/>
        <v>1904.3008091558515</v>
      </c>
      <c r="AY51" s="64">
        <f t="shared" si="31"/>
        <v>1885.2578010642931</v>
      </c>
      <c r="AZ51" s="64">
        <f t="shared" si="31"/>
        <v>1866.4052230536502</v>
      </c>
      <c r="BA51" s="64">
        <f t="shared" si="31"/>
        <v>1847.7411708231136</v>
      </c>
      <c r="BB51" s="64">
        <f t="shared" si="31"/>
        <v>1829.2637591148825</v>
      </c>
      <c r="BC51" s="64">
        <f t="shared" si="31"/>
        <v>1810.9711215237337</v>
      </c>
      <c r="BD51" s="64">
        <f t="shared" si="31"/>
        <v>1792.8614103084963</v>
      </c>
      <c r="BE51" s="64">
        <f t="shared" si="31"/>
        <v>1774.9327962054113</v>
      </c>
      <c r="BF51" s="64">
        <f t="shared" si="31"/>
        <v>1757.1834682433571</v>
      </c>
      <c r="BG51" s="64">
        <f t="shared" si="31"/>
        <v>1739.6116335609236</v>
      </c>
      <c r="BH51" s="64">
        <f t="shared" si="31"/>
        <v>1722.2155172253142</v>
      </c>
      <c r="BI51" s="64">
        <f t="shared" si="31"/>
        <v>1704.993362053061</v>
      </c>
      <c r="BJ51" s="64">
        <f t="shared" si="31"/>
        <v>1687.9434284325303</v>
      </c>
      <c r="BK51" s="64">
        <f t="shared" si="31"/>
        <v>1671.063994148205</v>
      </c>
      <c r="BL51" s="64">
        <f t="shared" si="31"/>
        <v>1654.353354206723</v>
      </c>
      <c r="BM51" s="64">
        <f t="shared" si="31"/>
        <v>1637.8098206646557</v>
      </c>
      <c r="BN51" s="64">
        <f t="shared" si="31"/>
        <v>1621.4317224580091</v>
      </c>
      <c r="BO51" s="64">
        <f t="shared" si="31"/>
        <v>1605.217405233429</v>
      </c>
      <c r="BP51" s="64">
        <f t="shared" si="31"/>
        <v>1589.1652311810947</v>
      </c>
      <c r="BQ51" s="64">
        <f t="shared" si="31"/>
        <v>1573.2735788692837</v>
      </c>
      <c r="BR51" s="64">
        <f t="shared" si="31"/>
        <v>1557.5408430805908</v>
      </c>
      <c r="BS51" s="64">
        <f t="shared" si="31"/>
        <v>1541.9654346497848</v>
      </c>
      <c r="BT51" s="64">
        <f t="shared" si="31"/>
        <v>1526.5457803032868</v>
      </c>
      <c r="BU51" s="64">
        <f t="shared" si="31"/>
        <v>1511.280322500254</v>
      </c>
      <c r="BV51" s="64">
        <f t="shared" si="31"/>
        <v>1496.1675192752514</v>
      </c>
      <c r="BW51" s="64">
        <f t="shared" si="31"/>
        <v>1481.2058440824987</v>
      </c>
      <c r="BX51" s="64">
        <f t="shared" si="31"/>
        <v>1466.3937856416737</v>
      </c>
      <c r="BY51" s="64">
        <f t="shared" si="31"/>
        <v>1451.7298477852569</v>
      </c>
      <c r="BZ51" s="64">
        <f t="shared" si="31"/>
        <v>1437.2125493074043</v>
      </c>
      <c r="CA51" s="64">
        <f t="shared" si="31"/>
        <v>1422.8404238143303</v>
      </c>
      <c r="CB51" s="64">
        <f t="shared" si="31"/>
        <v>1408.6120195761869</v>
      </c>
      <c r="CC51" s="64">
        <f t="shared" si="31"/>
        <v>1394.525899380425</v>
      </c>
      <c r="CD51" s="64">
        <f t="shared" si="31"/>
        <v>1380.5806403866206</v>
      </c>
      <c r="CE51" s="64">
        <f t="shared" si="31"/>
        <v>1366.7748339827544</v>
      </c>
      <c r="CF51" s="64">
        <f t="shared" ref="CF51:CH51" si="32">CE51*(1+$E$6)</f>
        <v>1353.1070856429269</v>
      </c>
      <c r="CG51" s="64">
        <f t="shared" si="32"/>
        <v>1339.5760147864976</v>
      </c>
      <c r="CH51" s="64">
        <f t="shared" si="32"/>
        <v>1326.1802546386325</v>
      </c>
    </row>
    <row r="52" spans="1:86" s="63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2"/>
    </row>
    <row r="53" spans="1:86" s="63" customFormat="1" x14ac:dyDescent="0.25">
      <c r="A53" s="1"/>
      <c r="B53" s="9" t="s">
        <v>26</v>
      </c>
      <c r="C53" s="28">
        <f>C49+C40+C43-C46</f>
        <v>1613</v>
      </c>
      <c r="D53" s="28">
        <f t="shared" ref="D53:R53" si="33">D49+D40+D43-D46</f>
        <v>2771</v>
      </c>
      <c r="E53" s="28">
        <f t="shared" si="33"/>
        <v>1424</v>
      </c>
      <c r="F53" s="28">
        <f t="shared" si="33"/>
        <v>3033</v>
      </c>
      <c r="G53" s="28">
        <f t="shared" si="33"/>
        <v>3812</v>
      </c>
      <c r="H53" s="28">
        <f t="shared" si="33"/>
        <v>721</v>
      </c>
      <c r="I53" s="67">
        <f t="shared" si="33"/>
        <v>-781.15290929599996</v>
      </c>
      <c r="J53" s="28">
        <f t="shared" si="33"/>
        <v>486.80823299240024</v>
      </c>
      <c r="K53" s="28">
        <f t="shared" si="33"/>
        <v>1933.4598209873757</v>
      </c>
      <c r="L53" s="28">
        <f t="shared" si="33"/>
        <v>2464.5195160273615</v>
      </c>
      <c r="M53" s="28">
        <f t="shared" si="33"/>
        <v>2602.7119455159173</v>
      </c>
      <c r="N53" s="28">
        <f t="shared" si="33"/>
        <v>2633.9444888621088</v>
      </c>
      <c r="O53" s="28">
        <f t="shared" si="33"/>
        <v>2738.1919209775474</v>
      </c>
      <c r="P53" s="28">
        <f t="shared" si="33"/>
        <v>2656.2610531458226</v>
      </c>
      <c r="Q53" s="28">
        <f t="shared" si="33"/>
        <v>2629.6984426143649</v>
      </c>
      <c r="R53" s="28">
        <f t="shared" si="33"/>
        <v>2603.4014581882216</v>
      </c>
    </row>
    <row r="54" spans="1:86" s="63" customFormat="1" x14ac:dyDescent="0.25">
      <c r="A54" s="1"/>
      <c r="B54" s="29" t="s">
        <v>27</v>
      </c>
      <c r="C54" s="1"/>
      <c r="D54" s="1"/>
      <c r="E54" s="1"/>
      <c r="F54" s="1"/>
      <c r="G54" s="1"/>
      <c r="H54" s="1"/>
      <c r="I54" s="68">
        <f t="shared" ref="I54:R54" si="34">I53/((1+$E$5)^I9)</f>
        <v>-721.05107754786115</v>
      </c>
      <c r="J54" s="19">
        <f t="shared" si="34"/>
        <v>414.78005585005258</v>
      </c>
      <c r="K54" s="19">
        <f t="shared" si="34"/>
        <v>1520.635336366488</v>
      </c>
      <c r="L54" s="19">
        <f t="shared" si="34"/>
        <v>1789.1722930126823</v>
      </c>
      <c r="M54" s="19">
        <f t="shared" si="34"/>
        <v>1744.1184789666695</v>
      </c>
      <c r="N54" s="19">
        <f t="shared" si="34"/>
        <v>1629.2452803902415</v>
      </c>
      <c r="O54" s="19">
        <f t="shared" si="34"/>
        <v>1563.4129829800095</v>
      </c>
      <c r="P54" s="19">
        <f t="shared" si="34"/>
        <v>1399.9436648636815</v>
      </c>
      <c r="Q54" s="19">
        <f t="shared" si="34"/>
        <v>1279.3098089800769</v>
      </c>
      <c r="R54" s="19">
        <f t="shared" si="34"/>
        <v>1169.0710336633485</v>
      </c>
    </row>
    <row r="55" spans="1:86" s="63" customFormat="1" x14ac:dyDescent="0.25">
      <c r="A55" s="1"/>
      <c r="B55" s="30"/>
      <c r="C55" s="30"/>
      <c r="D55" s="30"/>
      <c r="E55" s="30"/>
      <c r="F55" s="30"/>
      <c r="G55" s="30"/>
      <c r="H55" s="30"/>
      <c r="I55" s="31"/>
      <c r="J55" s="30"/>
      <c r="K55" s="30"/>
      <c r="L55" s="30"/>
      <c r="M55" s="30"/>
      <c r="N55" s="30"/>
      <c r="O55" s="30"/>
      <c r="P55" s="30"/>
      <c r="Q55" s="30"/>
      <c r="R55" s="30"/>
    </row>
    <row r="56" spans="1:86" s="63" customFormat="1" x14ac:dyDescent="0.25">
      <c r="A56" s="1"/>
      <c r="B56" s="1" t="s">
        <v>28</v>
      </c>
      <c r="C56" s="32">
        <f>(R53*(1+$E$6))/($E$5-$E$6)</f>
        <v>27608.808470706248</v>
      </c>
      <c r="D56" s="1"/>
      <c r="E56" s="1" t="s">
        <v>29</v>
      </c>
      <c r="F56" s="19">
        <f>NPV($E$5,I51:CH51)</f>
        <v>27060.179641103947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63" customFormat="1" x14ac:dyDescent="0.25">
      <c r="A57" s="1"/>
      <c r="B57" s="3" t="s">
        <v>30</v>
      </c>
      <c r="C57" s="33">
        <f>C56/((1+$E$5)^$R$9)</f>
        <v>12397.87976439261</v>
      </c>
      <c r="D57" s="17"/>
      <c r="E57" s="3"/>
      <c r="F57" s="3"/>
      <c r="G57" s="3"/>
      <c r="H57" s="34"/>
      <c r="I57" s="16"/>
      <c r="J57" s="17"/>
      <c r="K57" s="17"/>
      <c r="L57" s="17"/>
      <c r="M57" s="17"/>
      <c r="N57" s="17"/>
      <c r="O57" s="17"/>
      <c r="P57" s="17"/>
      <c r="Q57" s="17"/>
      <c r="R57" s="35"/>
    </row>
    <row r="58" spans="1:86" x14ac:dyDescent="0.25">
      <c r="A58" s="1"/>
      <c r="B58" s="6" t="s">
        <v>31</v>
      </c>
      <c r="C58" s="6"/>
      <c r="D58" s="1"/>
      <c r="E58" s="6"/>
      <c r="F58" s="6"/>
      <c r="G58" s="36" t="s">
        <v>32</v>
      </c>
      <c r="H58" s="36" t="s">
        <v>29</v>
      </c>
      <c r="I58" s="15"/>
      <c r="J58" s="1"/>
      <c r="K58" s="1"/>
      <c r="L58" s="1"/>
      <c r="M58" s="1"/>
      <c r="N58" s="1"/>
      <c r="O58" s="1"/>
      <c r="P58" s="1"/>
      <c r="Q58" s="1"/>
    </row>
    <row r="59" spans="1:86" x14ac:dyDescent="0.25">
      <c r="A59" s="1"/>
      <c r="B59" s="37" t="s">
        <v>33</v>
      </c>
      <c r="C59" s="1"/>
      <c r="D59">
        <v>543</v>
      </c>
      <c r="E59" s="1"/>
      <c r="F59" s="1"/>
      <c r="G59" s="32">
        <f>C57+SUM(I54:R54)</f>
        <v>24186.517621917999</v>
      </c>
      <c r="H59" s="19">
        <f>F56</f>
        <v>27060.179641103947</v>
      </c>
      <c r="I59" s="15"/>
      <c r="L59" s="74" t="s">
        <v>55</v>
      </c>
      <c r="M59" s="75"/>
      <c r="N59" s="75"/>
      <c r="O59" s="75"/>
      <c r="P59" s="75"/>
      <c r="Q59" s="74"/>
    </row>
    <row r="60" spans="1:86" x14ac:dyDescent="0.25">
      <c r="A60" s="1"/>
      <c r="B60" s="38" t="s">
        <v>34</v>
      </c>
      <c r="C60" s="3"/>
      <c r="D60" s="49">
        <v>1065</v>
      </c>
      <c r="E60" s="3"/>
      <c r="F60" s="3"/>
      <c r="G60" s="3"/>
      <c r="H60" s="3"/>
      <c r="I60" s="15"/>
      <c r="K60" s="74"/>
      <c r="L60" s="82">
        <f>E64</f>
        <v>70.115498970701054</v>
      </c>
      <c r="M60" s="78">
        <v>-0.02</v>
      </c>
      <c r="N60" s="78">
        <v>-1.4999999999999999E-2</v>
      </c>
      <c r="O60" s="78">
        <v>-0.01</v>
      </c>
      <c r="P60" s="78">
        <v>5.0000000000000001E-3</v>
      </c>
      <c r="Q60" s="78">
        <v>0.01</v>
      </c>
      <c r="R60" s="59"/>
    </row>
    <row r="61" spans="1:86" x14ac:dyDescent="0.25">
      <c r="A61" s="1"/>
      <c r="B61" s="6" t="s">
        <v>35</v>
      </c>
      <c r="C61" s="6"/>
      <c r="D61" s="6"/>
      <c r="E61" s="6"/>
      <c r="F61" s="6"/>
      <c r="G61" s="39">
        <f>G59+D59-D60</f>
        <v>23664.517621917999</v>
      </c>
      <c r="H61" s="40">
        <f>H59+D59-D60</f>
        <v>26538.179641103947</v>
      </c>
      <c r="I61" s="15"/>
      <c r="K61" s="74"/>
      <c r="L61" s="76">
        <v>6.5725491915375758E-2</v>
      </c>
      <c r="M61" s="84">
        <f t="dataTable" ref="M61:Q65" dt2D="1" dtr="1" r1="E6" r2="E5"/>
        <v>83.249927530020386</v>
      </c>
      <c r="N61" s="84">
        <v>86.188280723674154</v>
      </c>
      <c r="O61" s="84">
        <v>89.500120987591458</v>
      </c>
      <c r="P61" s="84">
        <v>102.51032716642706</v>
      </c>
      <c r="Q61" s="84">
        <v>108.27837786466256</v>
      </c>
    </row>
    <row r="62" spans="1:86" x14ac:dyDescent="0.25">
      <c r="A62" s="1"/>
      <c r="B62" s="3" t="s">
        <v>36</v>
      </c>
      <c r="C62" s="3"/>
      <c r="D62" s="3">
        <v>358</v>
      </c>
      <c r="E62" s="3"/>
      <c r="F62" s="3"/>
      <c r="G62" s="3"/>
      <c r="H62" s="41"/>
      <c r="I62" s="15"/>
      <c r="K62" s="75"/>
      <c r="L62" s="76">
        <v>7.5725491915375753E-2</v>
      </c>
      <c r="M62" s="84">
        <v>72.94778126905787</v>
      </c>
      <c r="N62" s="85">
        <v>75.112006569674321</v>
      </c>
      <c r="O62" s="85">
        <v>77.522492885422793</v>
      </c>
      <c r="P62" s="85">
        <v>86.717008568485483</v>
      </c>
      <c r="Q62" s="84">
        <v>90.663253341479319</v>
      </c>
    </row>
    <row r="63" spans="1:86" x14ac:dyDescent="0.25">
      <c r="A63" s="1"/>
      <c r="B63" s="18" t="s">
        <v>37</v>
      </c>
      <c r="C63" s="18"/>
      <c r="D63" s="87">
        <f>D62*$J$5</f>
        <v>18157.759999999998</v>
      </c>
      <c r="E63" s="18"/>
      <c r="F63" s="18"/>
      <c r="G63" s="18"/>
      <c r="H63" s="42"/>
      <c r="I63" s="1"/>
      <c r="K63" s="74" t="s">
        <v>1</v>
      </c>
      <c r="L63" s="76">
        <v>8.3353084988836132E-2</v>
      </c>
      <c r="M63" s="84">
        <v>66.453422936556237</v>
      </c>
      <c r="N63" s="85">
        <v>68.192932923240107</v>
      </c>
      <c r="O63" s="86">
        <v>70.115498970701054</v>
      </c>
      <c r="P63" s="85">
        <v>77.312835381011212</v>
      </c>
      <c r="Q63" s="84">
        <v>80.339630063794175</v>
      </c>
    </row>
    <row r="64" spans="1:86" x14ac:dyDescent="0.25">
      <c r="A64" s="1"/>
      <c r="B64" s="6" t="s">
        <v>38</v>
      </c>
      <c r="D64" s="6" t="s">
        <v>39</v>
      </c>
      <c r="E64" s="43">
        <f>(G64+H64)/2</f>
        <v>70.115498970701054</v>
      </c>
      <c r="F64" s="6"/>
      <c r="G64" s="43">
        <f>G61/D62</f>
        <v>66.102004530497211</v>
      </c>
      <c r="H64" s="44">
        <f>H61/D62</f>
        <v>74.128993410904883</v>
      </c>
      <c r="I64" s="15"/>
      <c r="K64" s="74"/>
      <c r="L64" s="77">
        <v>9.5725491915375743E-2</v>
      </c>
      <c r="M64" s="84">
        <v>57.785172894685793</v>
      </c>
      <c r="N64" s="85">
        <v>59.034033741445086</v>
      </c>
      <c r="O64" s="85">
        <v>60.399822950185658</v>
      </c>
      <c r="P64" s="85">
        <v>65.38526505201817</v>
      </c>
      <c r="Q64" s="84">
        <v>67.42545312285344</v>
      </c>
    </row>
    <row r="65" spans="2:17" x14ac:dyDescent="0.25">
      <c r="B65" s="52"/>
      <c r="C65" s="52"/>
      <c r="D65" s="52"/>
      <c r="E65" s="52"/>
      <c r="F65" s="52"/>
      <c r="G65" s="52"/>
      <c r="H65" s="52"/>
      <c r="I65" s="26"/>
      <c r="K65" s="74"/>
      <c r="L65" s="77">
        <v>0.10572549191537574</v>
      </c>
      <c r="M65" s="84">
        <v>52.065137115832201</v>
      </c>
      <c r="N65" s="84">
        <v>53.037678189499054</v>
      </c>
      <c r="O65" s="84">
        <v>54.093720579498353</v>
      </c>
      <c r="P65" s="84">
        <v>57.884182121863503</v>
      </c>
      <c r="Q65" s="84">
        <v>59.407536320882876</v>
      </c>
    </row>
  </sheetData>
  <sortState xmlns:xlrd2="http://schemas.microsoft.com/office/spreadsheetml/2017/richdata2" columnSort="1" ref="C10:H54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7" sqref="G7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51" t="s">
        <v>1</v>
      </c>
      <c r="C2" s="2"/>
      <c r="D2" s="2"/>
      <c r="E2" s="2"/>
      <c r="F2" s="2"/>
      <c r="G2" s="2"/>
      <c r="H2" s="2"/>
      <c r="I2" s="2"/>
      <c r="J2" s="2"/>
      <c r="K2" s="2"/>
      <c r="L2" s="52"/>
    </row>
    <row r="3" spans="1:12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2"/>
    </row>
    <row r="4" spans="1:12" x14ac:dyDescent="0.25">
      <c r="A4" s="54" t="s">
        <v>41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42</v>
      </c>
      <c r="C6" s="2"/>
      <c r="D6" s="55">
        <f>'TSN DCF'!I37</f>
        <v>0.19700000000000001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43</v>
      </c>
      <c r="C7" s="2"/>
      <c r="D7" s="5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44</v>
      </c>
      <c r="C8" s="2"/>
      <c r="D8" s="56">
        <v>0.74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45</v>
      </c>
      <c r="C9" s="2"/>
      <c r="D9" s="5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27">
        <f>'TSN DCF'!D63</f>
        <v>18157.759999999998</v>
      </c>
      <c r="D12" s="2"/>
      <c r="E12" s="2" t="s">
        <v>34</v>
      </c>
      <c r="F12" s="2"/>
      <c r="G12" s="27">
        <f>'TSN DCF'!D60</f>
        <v>1065</v>
      </c>
      <c r="H12" s="2"/>
      <c r="I12" s="2" t="s">
        <v>46</v>
      </c>
      <c r="J12" s="2"/>
      <c r="K12" s="27">
        <f>G12+C12</f>
        <v>19222.759999999998</v>
      </c>
      <c r="L12" s="2"/>
    </row>
    <row r="13" spans="1:12" x14ac:dyDescent="0.25">
      <c r="A13" s="2" t="s">
        <v>47</v>
      </c>
      <c r="B13" s="2"/>
      <c r="C13" s="57">
        <f>C12/K12</f>
        <v>0.94459692572762699</v>
      </c>
      <c r="D13" s="2"/>
      <c r="E13" s="2" t="s">
        <v>48</v>
      </c>
      <c r="F13" s="2"/>
      <c r="G13" s="58">
        <f>G12/K12</f>
        <v>5.5403074272372961E-2</v>
      </c>
      <c r="H13" s="2"/>
      <c r="I13" s="2"/>
      <c r="J13" s="2"/>
      <c r="K13" s="2"/>
      <c r="L13" s="2"/>
    </row>
    <row r="14" spans="1:12" x14ac:dyDescent="0.25">
      <c r="A14" s="2" t="s">
        <v>49</v>
      </c>
      <c r="B14" s="2"/>
      <c r="C14" s="59">
        <f>D7+D8*(D9)</f>
        <v>8.7299999999999989E-2</v>
      </c>
      <c r="D14" s="2"/>
      <c r="E14" s="2" t="s">
        <v>50</v>
      </c>
      <c r="F14" s="2"/>
      <c r="G14" s="58">
        <v>0.02</v>
      </c>
      <c r="H14" s="2"/>
      <c r="I14" s="60" t="s">
        <v>1</v>
      </c>
      <c r="J14" s="61"/>
      <c r="K14" s="62">
        <f>C13*C14+G14*G13*(1-D6)</f>
        <v>8.3353084988836132E-2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TSN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2023-05-08T20:21:15Z</dcterms:modified>
</cp:coreProperties>
</file>