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90DA18E7-E44A-436B-AF18-ACBE0E3756A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TSN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K25" i="1"/>
  <c r="L25" i="1"/>
  <c r="M25" i="1"/>
  <c r="N25" i="1"/>
  <c r="O25" i="1"/>
  <c r="P25" i="1"/>
  <c r="Q25" i="1"/>
  <c r="R25" i="1"/>
  <c r="I25" i="1"/>
  <c r="H47" i="1"/>
  <c r="I51" i="1"/>
  <c r="I49" i="1"/>
  <c r="I31" i="1"/>
  <c r="J31" i="1"/>
  <c r="K31" i="1"/>
  <c r="L31" i="1"/>
  <c r="M31" i="1"/>
  <c r="N31" i="1"/>
  <c r="O31" i="1"/>
  <c r="P31" i="1"/>
  <c r="Q31" i="1"/>
  <c r="R31" i="1"/>
  <c r="I22" i="1"/>
  <c r="J22" i="1"/>
  <c r="K22" i="1"/>
  <c r="L22" i="1"/>
  <c r="M22" i="1"/>
  <c r="N22" i="1"/>
  <c r="O22" i="1"/>
  <c r="P22" i="1"/>
  <c r="Q22" i="1"/>
  <c r="R22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7" i="1"/>
  <c r="D22" i="1"/>
  <c r="E22" i="1"/>
  <c r="F22" i="1"/>
  <c r="G22" i="1"/>
  <c r="H22" i="1"/>
  <c r="C22" i="1"/>
  <c r="I11" i="1"/>
  <c r="J11" i="1" s="1"/>
  <c r="L59" i="1"/>
  <c r="L60" i="1" s="1"/>
  <c r="L57" i="1"/>
  <c r="L56" i="1" s="1"/>
  <c r="D61" i="1"/>
  <c r="C12" i="2" s="1"/>
  <c r="G12" i="2"/>
  <c r="D6" i="2"/>
  <c r="D20" i="1"/>
  <c r="E20" i="1"/>
  <c r="F20" i="1"/>
  <c r="G20" i="1"/>
  <c r="H20" i="1"/>
  <c r="C20" i="1"/>
  <c r="H12" i="1"/>
  <c r="C38" i="1"/>
  <c r="C39" i="1" s="1"/>
  <c r="D38" i="1"/>
  <c r="D39" i="1" s="1"/>
  <c r="E38" i="1"/>
  <c r="E39" i="1" s="1"/>
  <c r="E16" i="1"/>
  <c r="E25" i="1" s="1"/>
  <c r="E31" i="1" s="1"/>
  <c r="D16" i="1"/>
  <c r="D17" i="1" s="1"/>
  <c r="C16" i="1"/>
  <c r="C25" i="1" s="1"/>
  <c r="F39" i="1"/>
  <c r="C14" i="2"/>
  <c r="G12" i="1"/>
  <c r="C45" i="1"/>
  <c r="H45" i="1"/>
  <c r="G45" i="1"/>
  <c r="F45" i="1"/>
  <c r="E45" i="1"/>
  <c r="D45" i="1"/>
  <c r="H42" i="1"/>
  <c r="G42" i="1"/>
  <c r="F42" i="1"/>
  <c r="E42" i="1"/>
  <c r="D42" i="1"/>
  <c r="C42" i="1"/>
  <c r="H39" i="1"/>
  <c r="G39" i="1"/>
  <c r="H16" i="1"/>
  <c r="H17" i="1" s="1"/>
  <c r="G16" i="1"/>
  <c r="G25" i="1" s="1"/>
  <c r="G29" i="1" s="1"/>
  <c r="F16" i="1"/>
  <c r="F17" i="1" s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I16" i="1" l="1"/>
  <c r="I14" i="1" s="1"/>
  <c r="C29" i="1"/>
  <c r="C49" i="1" s="1"/>
  <c r="E29" i="1"/>
  <c r="I23" i="1"/>
  <c r="G49" i="1"/>
  <c r="K11" i="1"/>
  <c r="J41" i="1"/>
  <c r="J38" i="1"/>
  <c r="I38" i="1"/>
  <c r="I41" i="1"/>
  <c r="I44" i="1"/>
  <c r="C23" i="1"/>
  <c r="E23" i="1"/>
  <c r="G23" i="1"/>
  <c r="E49" i="1"/>
  <c r="H25" i="1"/>
  <c r="K12" i="2"/>
  <c r="G13" i="2" s="1"/>
  <c r="F25" i="1"/>
  <c r="D25" i="1"/>
  <c r="C31" i="1"/>
  <c r="C47" i="1" s="1"/>
  <c r="C51" i="1" s="1"/>
  <c r="G31" i="1"/>
  <c r="C17" i="1"/>
  <c r="E17" i="1"/>
  <c r="G17" i="1"/>
  <c r="D23" i="1"/>
  <c r="F23" i="1"/>
  <c r="H23" i="1"/>
  <c r="D29" i="1" l="1"/>
  <c r="D49" i="1" s="1"/>
  <c r="F29" i="1"/>
  <c r="F49" i="1" s="1"/>
  <c r="H29" i="1"/>
  <c r="H49" i="1" s="1"/>
  <c r="L11" i="1"/>
  <c r="K41" i="1"/>
  <c r="K38" i="1"/>
  <c r="J44" i="1"/>
  <c r="C13" i="2"/>
  <c r="K14" i="2" s="1"/>
  <c r="E5" i="1" s="1"/>
  <c r="F31" i="1"/>
  <c r="F35" i="1" s="1"/>
  <c r="D31" i="1"/>
  <c r="D47" i="1" s="1"/>
  <c r="D51" i="1" s="1"/>
  <c r="H31" i="1"/>
  <c r="H51" i="1" s="1"/>
  <c r="G35" i="1"/>
  <c r="G32" i="1"/>
  <c r="G47" i="1"/>
  <c r="G51" i="1" s="1"/>
  <c r="E35" i="1"/>
  <c r="E32" i="1"/>
  <c r="E47" i="1"/>
  <c r="E51" i="1" s="1"/>
  <c r="C35" i="1"/>
  <c r="C32" i="1"/>
  <c r="M11" i="1" l="1"/>
  <c r="L41" i="1"/>
  <c r="L38" i="1"/>
  <c r="K44" i="1"/>
  <c r="F47" i="1"/>
  <c r="F51" i="1" s="1"/>
  <c r="D32" i="1"/>
  <c r="D35" i="1"/>
  <c r="F32" i="1"/>
  <c r="H35" i="1"/>
  <c r="H32" i="1"/>
  <c r="N11" i="1" l="1"/>
  <c r="M41" i="1"/>
  <c r="L19" i="1"/>
  <c r="L44" i="1"/>
  <c r="L16" i="1"/>
  <c r="L29" i="1" s="1"/>
  <c r="O11" i="1" l="1"/>
  <c r="P11" i="1" s="1"/>
  <c r="Q11" i="1" s="1"/>
  <c r="N41" i="1"/>
  <c r="L14" i="1"/>
  <c r="M44" i="1"/>
  <c r="M38" i="1"/>
  <c r="M19" i="1"/>
  <c r="M16" i="1"/>
  <c r="J19" i="1"/>
  <c r="I19" i="1"/>
  <c r="I29" i="1" s="1"/>
  <c r="J16" i="1"/>
  <c r="J29" i="1" l="1"/>
  <c r="N44" i="1"/>
  <c r="N38" i="1"/>
  <c r="N19" i="1"/>
  <c r="N16" i="1"/>
  <c r="M14" i="1"/>
  <c r="M23" i="1"/>
  <c r="J23" i="1"/>
  <c r="K19" i="1"/>
  <c r="K16" i="1"/>
  <c r="J14" i="1"/>
  <c r="M32" i="1" l="1"/>
  <c r="M29" i="1"/>
  <c r="N23" i="1"/>
  <c r="O44" i="1"/>
  <c r="O38" i="1"/>
  <c r="O41" i="1"/>
  <c r="O19" i="1"/>
  <c r="O16" i="1"/>
  <c r="K29" i="1"/>
  <c r="N14" i="1"/>
  <c r="K23" i="1"/>
  <c r="J34" i="1"/>
  <c r="K14" i="1"/>
  <c r="J32" i="1"/>
  <c r="N32" i="1" l="1"/>
  <c r="N29" i="1"/>
  <c r="O23" i="1"/>
  <c r="O14" i="1"/>
  <c r="J47" i="1"/>
  <c r="J51" i="1" s="1"/>
  <c r="J52" i="1" s="1"/>
  <c r="K32" i="1"/>
  <c r="K34" i="1"/>
  <c r="O32" i="1" l="1"/>
  <c r="O29" i="1"/>
  <c r="K47" i="1"/>
  <c r="K51" i="1" s="1"/>
  <c r="K52" i="1" s="1"/>
  <c r="M34" i="1" l="1"/>
  <c r="M47" i="1" s="1"/>
  <c r="M51" i="1" s="1"/>
  <c r="M52" i="1" s="1"/>
  <c r="N34" i="1"/>
  <c r="N47" i="1" s="1"/>
  <c r="N51" i="1" s="1"/>
  <c r="N52" i="1" s="1"/>
  <c r="O34" i="1" l="1"/>
  <c r="O47" i="1" s="1"/>
  <c r="O51" i="1" s="1"/>
  <c r="O52" i="1" s="1"/>
  <c r="L23" i="1" l="1"/>
  <c r="L32" i="1" l="1"/>
  <c r="L34" i="1" l="1"/>
  <c r="L47" i="1" s="1"/>
  <c r="L51" i="1" s="1"/>
  <c r="L52" i="1" s="1"/>
  <c r="K49" i="1"/>
  <c r="M49" i="1"/>
  <c r="N49" i="1"/>
  <c r="O49" i="1"/>
  <c r="J49" i="1"/>
  <c r="L49" i="1" l="1"/>
  <c r="P19" i="1" l="1"/>
  <c r="P38" i="1"/>
  <c r="P23" i="1"/>
  <c r="P44" i="1"/>
  <c r="P41" i="1"/>
  <c r="Q41" i="1"/>
  <c r="Q38" i="1"/>
  <c r="P16" i="1"/>
  <c r="P14" i="1" s="1"/>
  <c r="Q16" i="1"/>
  <c r="Q19" i="1"/>
  <c r="R11" i="1"/>
  <c r="P29" i="1" l="1"/>
  <c r="R38" i="1"/>
  <c r="R19" i="1"/>
  <c r="R16" i="1"/>
  <c r="R44" i="1"/>
  <c r="R41" i="1"/>
  <c r="Q29" i="1"/>
  <c r="Q14" i="1"/>
  <c r="Q23" i="1"/>
  <c r="Q44" i="1"/>
  <c r="R29" i="1" l="1"/>
  <c r="R14" i="1"/>
  <c r="P34" i="1"/>
  <c r="P49" i="1" s="1"/>
  <c r="P32" i="1"/>
  <c r="R23" i="1"/>
  <c r="Q32" i="1" l="1"/>
  <c r="Q34" i="1"/>
  <c r="Q47" i="1" s="1"/>
  <c r="Q51" i="1" s="1"/>
  <c r="Q52" i="1" s="1"/>
  <c r="P47" i="1"/>
  <c r="P51" i="1" s="1"/>
  <c r="P52" i="1" s="1"/>
  <c r="R32" i="1"/>
  <c r="R34" i="1"/>
  <c r="R49" i="1" s="1"/>
  <c r="R47" i="1" l="1"/>
  <c r="R51" i="1" s="1"/>
  <c r="R52" i="1" s="1"/>
  <c r="Q49" i="1"/>
  <c r="C54" i="1"/>
  <c r="C55" i="1" s="1"/>
  <c r="S49" i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I32" i="1"/>
  <c r="I34" i="1"/>
  <c r="I47" i="1" l="1"/>
  <c r="I52" i="1" s="1"/>
  <c r="G57" i="1" s="1"/>
  <c r="G59" i="1" s="1"/>
  <c r="G62" i="1" s="1"/>
  <c r="F54" i="1"/>
  <c r="H57" i="1" s="1"/>
  <c r="H59" i="1" s="1"/>
  <c r="H62" i="1" s="1"/>
  <c r="E62" i="1" l="1"/>
  <c r="L55" i="1" s="1"/>
  <c r="J6" i="1" l="1"/>
  <c r="N5" i="1" s="1"/>
</calcChain>
</file>

<file path=xl/sharedStrings.xml><?xml version="1.0" encoding="utf-8"?>
<sst xmlns="http://schemas.openxmlformats.org/spreadsheetml/2006/main" count="67" uniqueCount="55">
  <si>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</si>
  <si>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</si>
  <si>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</si>
  <si>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</si>
  <si>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</si>
  <si>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</si>
  <si>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</si>
  <si>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</si>
  <si>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</si>
  <si>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</si>
  <si>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</si>
  <si>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</si>
  <si>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</si>
  <si>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</si>
  <si>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</si>
  <si>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</si>
  <si>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</si>
  <si>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</si>
  <si>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</si>
  <si>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</si>
  <si>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</si>
  <si>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</si>
  <si>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</si>
  <si>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</si>
  <si>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</si>
  <si>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</si>
  <si>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</si>
  <si>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</si>
  <si>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</si>
  <si>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</si>
  <si>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</si>
  <si>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</si>
  <si>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</si>
  <si>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</si>
  <si>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</si>
  <si>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</si>
  <si>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</si>
  <si>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</si>
  <si>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</si>
  <si>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</si>
  <si>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</si>
  <si>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</si>
  <si>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</si>
  <si>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</si>
  <si>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</si>
  <si>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</si>
  <si>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</si>
  <si>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</si>
  <si>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</si>
  <si>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</si>
  <si>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Tyson Foods DCF</t>
  </si>
  <si>
    <t>NCI</t>
  </si>
  <si>
    <t xml:space="preserve">                                             Terminal Growth Rate</t>
  </si>
  <si>
    <t>Other income</t>
  </si>
  <si>
    <t>Update: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</si>
</sst>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164" fontId="3" fillId="2" borderId="0" xfId="0" applyNumberFormat="1" applyFont="1" applyFill="1"/>
    <xf numFmtId="164" fontId="0" fillId="8" borderId="0" xfId="0" applyNumberFormat="1" applyFill="1" applyAlignment="1">
      <alignment horizontal="center"/>
    </xf>
    <xf numFmtId="0" fontId="2" fillId="4" borderId="0" xfId="0" applyFont="1" applyFill="1"/>
    <xf numFmtId="164" fontId="10" fillId="2" borderId="0" xfId="1" applyNumberFormat="1" applyFont="1" applyFill="1" applyBorder="1"/>
    <xf numFmtId="0" fontId="2" fillId="4" borderId="3" xfId="0" applyFont="1" applyFill="1" applyBorder="1"/>
    <xf numFmtId="1" fontId="0" fillId="2" borderId="3" xfId="0" applyNumberFormat="1" applyFill="1" applyBorder="1"/>
    <xf numFmtId="164" fontId="10" fillId="2" borderId="3" xfId="1" applyNumberFormat="1" applyFont="1" applyFill="1" applyBorder="1"/>
    <xf numFmtId="3" fontId="0" fillId="2" borderId="3" xfId="0" applyNumberFormat="1" applyFill="1" applyBorder="1"/>
    <xf numFmtId="0" fontId="2" fillId="3" borderId="3" xfId="0" applyFont="1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0" fontId="0" fillId="2" borderId="13" xfId="0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10" fillId="11" borderId="3" xfId="1" applyNumberFormat="1" applyFont="1" applyFill="1" applyBorder="1"/>
    <xf numFmtId="164" fontId="10" fillId="11" borderId="0" xfId="1" applyNumberFormat="1" applyFont="1" applyFill="1" applyBorder="1"/>
    <xf numFmtId="10" fontId="10" fillId="11" borderId="3" xfId="0" applyNumberFormat="1" applyFont="1" applyFill="1" applyBorder="1"/>
    <xf numFmtId="10" fontId="10" fillId="11" borderId="3" xfId="1" applyNumberFormat="1" applyFont="1" applyFill="1" applyBorder="1"/>
    <xf numFmtId="10" fontId="10" fillId="11" borderId="0" xfId="1" applyNumberFormat="1" applyFont="1" applyFill="1" applyBorder="1"/>
    <xf numFmtId="164" fontId="3" fillId="11" borderId="0" xfId="1" applyNumberFormat="1" applyFont="1" applyFill="1"/>
    <xf numFmtId="164" fontId="10" fillId="11" borderId="3" xfId="0" applyNumberFormat="1" applyFont="1" applyFill="1" applyBorder="1"/>
    <xf numFmtId="0" fontId="3" fillId="2" borderId="0" xfId="1" applyNumberFormat="1" applyFont="1" applyFill="1"/>
    <xf numFmtId="1" fontId="0" fillId="2" borderId="0" xfId="0" applyNumberFormat="1" applyFill="1" applyBorder="1"/>
    <xf numFmtId="164" fontId="7" fillId="11" borderId="0" xfId="1" applyNumberFormat="1" applyFont="1" applyFill="1" applyBorder="1"/>
    <xf numFmtId="0" fontId="0" fillId="2" borderId="0" xfId="0" applyFill="1" applyBorder="1"/>
    <xf numFmtId="10" fontId="0" fillId="2" borderId="0" xfId="0" applyNumberFormat="1" applyFill="1" applyBorder="1"/>
    <xf numFmtId="10" fontId="10" fillId="11" borderId="0" xfId="0" applyNumberFormat="1" applyFont="1" applyFill="1" applyBorder="1"/>
    <xf numFmtId="3" fontId="3" fillId="2" borderId="0" xfId="0" applyNumberFormat="1" applyFont="1" applyFill="1" applyBorder="1"/>
    <xf numFmtId="3" fontId="0" fillId="2" borderId="0" xfId="0" applyNumberFormat="1" applyFill="1" applyBorder="1"/>
    <xf numFmtId="1" fontId="3" fillId="2" borderId="0" xfId="1" applyNumberFormat="1" applyFont="1" applyFill="1" applyBorder="1"/>
    <xf numFmtId="0" fontId="3" fillId="2" borderId="0" xfId="1" applyNumberFormat="1" applyFont="1" applyFill="1" applyBorder="1"/>
    <xf numFmtId="0" fontId="2" fillId="3" borderId="0" xfId="0" applyFont="1" applyFill="1" applyBorder="1"/>
    <xf numFmtId="164" fontId="10" fillId="11" borderId="0" xfId="0" applyNumberFormat="1" applyFont="1" applyFill="1" applyBorder="1"/>
    <xf numFmtId="164" fontId="7" fillId="11" borderId="3" xfId="1" applyNumberFormat="1" applyFont="1" applyFill="1" applyBorder="1"/>
    <xf numFmtId="3" fontId="3" fillId="2" borderId="3" xfId="0" applyNumberFormat="1" applyFont="1" applyFill="1" applyBorder="1"/>
    <xf numFmtId="1" fontId="3" fillId="2" borderId="3" xfId="1" applyNumberFormat="1" applyFont="1" applyFill="1" applyBorder="1"/>
    <xf numFmtId="0" fontId="3" fillId="2" borderId="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3"/>
  <sheetViews>
    <sheetView tabSelected="1" zoomScaleNormal="100" workbookViewId="0">
      <selection activeCell="P6" sqref="P6"/>
    </sheetView>
  </sheetViews>
  <sheetFormatPr defaultRowHeight="15" x14ac:dyDescent="0.25"/>
  <cols>
    <col min="1" max="1" width="9.140625" style="2"/>
    <col min="2" max="2" width="17.28515625" style="2" customWidth="1"/>
    <col min="3" max="3" width="10.85546875" style="2" bestFit="1" customWidth="1"/>
    <col min="4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49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49" customFormat="1" ht="23.25" x14ac:dyDescent="0.35">
      <c r="A2" s="3"/>
      <c r="B2" s="4" t="s">
        <v>50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18" s="49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49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49" customFormat="1" x14ac:dyDescent="0.25">
      <c r="A5" s="1"/>
      <c r="B5" s="1"/>
      <c r="C5" s="7" t="s">
        <v>1</v>
      </c>
      <c r="D5" s="1"/>
      <c r="E5" s="8">
        <f>WACC!K14+1%</f>
        <v>9.1475732565024628E-2</v>
      </c>
      <c r="F5" s="2"/>
      <c r="G5" s="1"/>
      <c r="H5" s="1" t="s">
        <v>2</v>
      </c>
      <c r="I5" s="1"/>
      <c r="J5" s="7">
        <v>55.05</v>
      </c>
      <c r="K5" s="1"/>
      <c r="L5" s="1" t="s">
        <v>3</v>
      </c>
      <c r="M5" s="1"/>
      <c r="N5" s="7">
        <f>(J6/J5)-1</f>
        <v>0.49220917828910027</v>
      </c>
      <c r="O5" s="1"/>
      <c r="P5" s="1" t="s">
        <v>54</v>
      </c>
      <c r="Q5" s="1"/>
      <c r="R5" s="2"/>
    </row>
    <row r="6" spans="1:18" s="49" customFormat="1" x14ac:dyDescent="0.25">
      <c r="A6" s="1"/>
      <c r="B6" s="1"/>
      <c r="C6" s="7" t="s">
        <v>4</v>
      </c>
      <c r="D6" s="1"/>
      <c r="E6" s="8">
        <v>0</v>
      </c>
      <c r="F6" s="2"/>
      <c r="G6" s="1"/>
      <c r="H6" s="1" t="s">
        <v>5</v>
      </c>
      <c r="I6" s="1"/>
      <c r="J6" s="55">
        <f>E62</f>
        <v>82.146115264814966</v>
      </c>
      <c r="K6" s="1"/>
      <c r="L6" s="1"/>
      <c r="M6" s="1"/>
      <c r="N6" s="1"/>
      <c r="O6" s="1"/>
      <c r="P6" s="1"/>
      <c r="Q6" s="1"/>
      <c r="R6" s="2"/>
    </row>
    <row r="7" spans="1:18" s="49" customFormat="1" x14ac:dyDescent="0.25">
      <c r="A7" s="1"/>
      <c r="B7" s="1"/>
      <c r="C7" s="1"/>
      <c r="D7" s="1"/>
      <c r="E7" s="8"/>
      <c r="F7" s="1"/>
      <c r="G7" s="1"/>
      <c r="H7" s="1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s="49" customFormat="1" x14ac:dyDescent="0.25">
      <c r="A8" s="1"/>
      <c r="B8" s="1"/>
      <c r="C8" s="1"/>
      <c r="D8" s="1"/>
      <c r="E8" s="8"/>
      <c r="F8" s="1"/>
      <c r="G8" s="1"/>
      <c r="H8" s="1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s="49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49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63">
        <v>2024</v>
      </c>
      <c r="K10" s="63">
        <v>2025</v>
      </c>
      <c r="L10" s="63">
        <v>2026</v>
      </c>
      <c r="M10" s="63">
        <v>2027</v>
      </c>
      <c r="N10" s="63">
        <v>2028</v>
      </c>
      <c r="O10" s="63">
        <v>2029</v>
      </c>
      <c r="P10" s="63">
        <v>2030</v>
      </c>
      <c r="Q10" s="63">
        <v>2031</v>
      </c>
      <c r="R10" s="63">
        <v>2032</v>
      </c>
    </row>
    <row r="11" spans="1:18" s="49" customFormat="1" x14ac:dyDescent="0.25">
      <c r="A11" s="1"/>
      <c r="B11" s="1" t="s">
        <v>7</v>
      </c>
      <c r="C11" s="11">
        <v>38260</v>
      </c>
      <c r="D11" s="11">
        <v>40052</v>
      </c>
      <c r="E11" s="11">
        <v>42405</v>
      </c>
      <c r="F11" s="11">
        <v>43185</v>
      </c>
      <c r="G11" s="11">
        <v>47049</v>
      </c>
      <c r="H11" s="11">
        <v>53282</v>
      </c>
      <c r="I11" s="66">
        <f t="shared" ref="I11" si="1">H11*(1+I12)</f>
        <v>53520</v>
      </c>
      <c r="J11" s="83">
        <f t="shared" ref="J11" si="2">I11*(1+J12)</f>
        <v>54680</v>
      </c>
      <c r="K11" s="83">
        <f t="shared" ref="K11" si="3">J11*(1+K12)</f>
        <v>55960</v>
      </c>
      <c r="L11" s="83">
        <f t="shared" ref="L11" si="4">K11*(1+L12)</f>
        <v>58170</v>
      </c>
      <c r="M11" s="83">
        <f t="shared" ref="M11" si="5">L11*(1+M12)</f>
        <v>59619.999999999993</v>
      </c>
      <c r="N11" s="83">
        <f t="shared" ref="N11" si="6">M11*(1+N12)</f>
        <v>62039.999999999985</v>
      </c>
      <c r="O11" s="83">
        <f t="shared" ref="O11" si="7">N11*(1+O12)</f>
        <v>63899.999999999985</v>
      </c>
      <c r="P11" s="83">
        <f t="shared" ref="P11" si="8">O11*(1+P12)</f>
        <v>65919.999999999985</v>
      </c>
      <c r="Q11" s="83">
        <f t="shared" ref="Q11" si="9">P11*(1+Q12)</f>
        <v>68129.999999999985</v>
      </c>
      <c r="R11" s="83">
        <f t="shared" ref="R11" si="10">Q11*(1+R12)</f>
        <v>70539.999999999985</v>
      </c>
    </row>
    <row r="12" spans="1:18" s="49" customFormat="1" x14ac:dyDescent="0.25">
      <c r="A12" s="1"/>
      <c r="B12" s="73" t="s">
        <v>8</v>
      </c>
      <c r="C12" s="74"/>
      <c r="D12" s="74">
        <f>(D11/C11)-1</f>
        <v>4.6837428123366331E-2</v>
      </c>
      <c r="E12" s="74">
        <f>(E11/D11)-1</f>
        <v>5.8748626785179336E-2</v>
      </c>
      <c r="F12" s="74">
        <f>(F11/E11)-1</f>
        <v>1.8394057304563116E-2</v>
      </c>
      <c r="G12" s="74">
        <f>(G11/F11)-1</f>
        <v>8.9475512330670304E-2</v>
      </c>
      <c r="H12" s="74">
        <f>(H11/G11)-1</f>
        <v>0.13247890497141279</v>
      </c>
      <c r="I12" s="94">
        <v>4.4667992943208112E-3</v>
      </c>
      <c r="J12" s="84">
        <v>2.1674140508221251E-2</v>
      </c>
      <c r="K12" s="84">
        <v>2.3408924652523755E-2</v>
      </c>
      <c r="L12" s="84">
        <v>3.949249463902782E-2</v>
      </c>
      <c r="M12" s="84">
        <v>2.4926938284338895E-2</v>
      </c>
      <c r="N12" s="84">
        <v>4.0590405904058935E-2</v>
      </c>
      <c r="O12" s="84">
        <v>2.9980657640232167E-2</v>
      </c>
      <c r="P12" s="84">
        <v>3.1611893583724626E-2</v>
      </c>
      <c r="Q12" s="76">
        <v>3.3525485436893154E-2</v>
      </c>
      <c r="R12" s="76">
        <v>3.5373550565096057E-2</v>
      </c>
    </row>
    <row r="13" spans="1:18" s="49" customFormat="1" x14ac:dyDescent="0.25">
      <c r="A13" s="1"/>
      <c r="B13" s="6"/>
      <c r="C13" s="1"/>
      <c r="D13" s="1"/>
      <c r="E13" s="1"/>
      <c r="F13" s="1"/>
      <c r="G13" s="1"/>
      <c r="H13" s="1"/>
      <c r="I13" s="20"/>
      <c r="J13" s="86"/>
      <c r="K13" s="86"/>
      <c r="L13" s="86"/>
      <c r="M13" s="86"/>
      <c r="N13" s="86"/>
      <c r="O13" s="86"/>
      <c r="P13" s="86"/>
      <c r="Q13" s="86"/>
      <c r="R13" s="86"/>
    </row>
    <row r="14" spans="1:18" s="49" customFormat="1" x14ac:dyDescent="0.25">
      <c r="A14" s="1"/>
      <c r="B14" s="1" t="s">
        <v>9</v>
      </c>
      <c r="C14" s="11">
        <v>33198</v>
      </c>
      <c r="D14" s="11">
        <v>34956</v>
      </c>
      <c r="E14" s="11">
        <v>37383</v>
      </c>
      <c r="F14" s="11">
        <v>37801</v>
      </c>
      <c r="G14" s="11">
        <v>40523</v>
      </c>
      <c r="H14" s="11">
        <v>46614</v>
      </c>
      <c r="I14" s="70">
        <f t="shared" ref="I14:R14" si="11">I11-I16</f>
        <v>50389.08</v>
      </c>
      <c r="J14" s="71">
        <f t="shared" si="11"/>
        <v>50644.616000000002</v>
      </c>
      <c r="K14" s="71">
        <f t="shared" si="11"/>
        <v>50447.94</v>
      </c>
      <c r="L14" s="71">
        <f t="shared" si="11"/>
        <v>52062.15</v>
      </c>
      <c r="M14" s="71">
        <f t="shared" si="11"/>
        <v>52227.119999999995</v>
      </c>
      <c r="N14" s="71">
        <f t="shared" si="11"/>
        <v>54284.999999999985</v>
      </c>
      <c r="O14" s="71">
        <f t="shared" si="11"/>
        <v>55912.499999999985</v>
      </c>
      <c r="P14" s="71">
        <f t="shared" si="11"/>
        <v>57679.999999999985</v>
      </c>
      <c r="Q14" s="71">
        <f t="shared" si="11"/>
        <v>59613.749999999985</v>
      </c>
      <c r="R14" s="71">
        <f t="shared" si="11"/>
        <v>61722.499999999985</v>
      </c>
    </row>
    <row r="15" spans="1:18" s="49" customFormat="1" x14ac:dyDescent="0.25">
      <c r="A15" s="1"/>
      <c r="B15" s="17"/>
      <c r="C15" s="17"/>
      <c r="D15" s="17"/>
      <c r="E15" s="17"/>
      <c r="F15" s="17"/>
      <c r="G15" s="17"/>
      <c r="H15" s="17"/>
      <c r="I15" s="20"/>
      <c r="J15" s="85"/>
      <c r="K15" s="85"/>
      <c r="L15" s="85"/>
      <c r="M15" s="85"/>
      <c r="N15" s="85"/>
      <c r="O15" s="85"/>
      <c r="P15" s="85"/>
      <c r="Q15" s="85"/>
      <c r="R15" s="85"/>
    </row>
    <row r="16" spans="1:18" s="49" customFormat="1" x14ac:dyDescent="0.25">
      <c r="A16" s="1"/>
      <c r="B16" s="1" t="s">
        <v>10</v>
      </c>
      <c r="C16" s="11">
        <f t="shared" ref="C16:H16" si="12">C11-C14</f>
        <v>5062</v>
      </c>
      <c r="D16" s="11">
        <f t="shared" si="12"/>
        <v>5096</v>
      </c>
      <c r="E16" s="11">
        <f t="shared" si="12"/>
        <v>5022</v>
      </c>
      <c r="F16" s="11">
        <f t="shared" si="12"/>
        <v>5384</v>
      </c>
      <c r="G16" s="11">
        <f t="shared" si="12"/>
        <v>6526</v>
      </c>
      <c r="H16" s="11">
        <f t="shared" si="12"/>
        <v>6668</v>
      </c>
      <c r="I16" s="66">
        <f>I11*I17</f>
        <v>3130.92</v>
      </c>
      <c r="J16" s="83">
        <f t="shared" ref="J16" si="13">J11*J17</f>
        <v>4035.3840000000005</v>
      </c>
      <c r="K16" s="83">
        <f>K11*K17</f>
        <v>5512.06</v>
      </c>
      <c r="L16" s="83">
        <f>L11*L17</f>
        <v>6107.8499999999995</v>
      </c>
      <c r="M16" s="83">
        <f>M11*M17</f>
        <v>7392.8799999999992</v>
      </c>
      <c r="N16" s="83">
        <f t="shared" ref="N16:R16" si="14">N11*N17</f>
        <v>7754.9999999999982</v>
      </c>
      <c r="O16" s="83">
        <f t="shared" si="14"/>
        <v>7987.4999999999982</v>
      </c>
      <c r="P16" s="83">
        <f t="shared" si="14"/>
        <v>8239.9999999999982</v>
      </c>
      <c r="Q16" s="83">
        <f t="shared" si="14"/>
        <v>8516.2499999999982</v>
      </c>
      <c r="R16" s="83">
        <f t="shared" si="14"/>
        <v>8817.4999999999982</v>
      </c>
    </row>
    <row r="17" spans="1:18" s="49" customFormat="1" x14ac:dyDescent="0.25">
      <c r="A17" s="1"/>
      <c r="B17" s="73" t="s">
        <v>11</v>
      </c>
      <c r="C17" s="74">
        <f t="shared" ref="C17:H17" si="15">C16/C11</f>
        <v>0.13230527966544695</v>
      </c>
      <c r="D17" s="74">
        <f t="shared" si="15"/>
        <v>0.12723459502646559</v>
      </c>
      <c r="E17" s="74">
        <f t="shared" si="15"/>
        <v>0.1184294304916873</v>
      </c>
      <c r="F17" s="74">
        <f t="shared" si="15"/>
        <v>0.12467291883755934</v>
      </c>
      <c r="G17" s="74">
        <f t="shared" si="15"/>
        <v>0.1387064549724755</v>
      </c>
      <c r="H17" s="74">
        <f t="shared" si="15"/>
        <v>0.12514545249802936</v>
      </c>
      <c r="I17" s="77">
        <v>5.8500000000000003E-2</v>
      </c>
      <c r="J17" s="87">
        <v>7.3800000000000004E-2</v>
      </c>
      <c r="K17" s="87">
        <v>9.8500000000000004E-2</v>
      </c>
      <c r="L17" s="87">
        <v>0.105</v>
      </c>
      <c r="M17" s="87">
        <v>0.124</v>
      </c>
      <c r="N17" s="87">
        <v>0.125</v>
      </c>
      <c r="O17" s="87">
        <v>0.125</v>
      </c>
      <c r="P17" s="87">
        <v>0.125</v>
      </c>
      <c r="Q17" s="87">
        <v>0.125</v>
      </c>
      <c r="R17" s="87">
        <v>0.125</v>
      </c>
    </row>
    <row r="18" spans="1:18" s="49" customFormat="1" x14ac:dyDescent="0.25">
      <c r="A18" s="1"/>
      <c r="B18" s="1"/>
      <c r="C18" s="11"/>
      <c r="D18" s="11"/>
      <c r="E18" s="11"/>
      <c r="F18" s="11"/>
      <c r="G18" s="11"/>
      <c r="H18" s="11"/>
      <c r="I18" s="66"/>
      <c r="J18" s="83"/>
      <c r="K18" s="83"/>
      <c r="L18" s="83"/>
      <c r="M18" s="83"/>
      <c r="N18" s="83"/>
      <c r="O18" s="83"/>
      <c r="P18" s="83"/>
      <c r="Q18" s="83"/>
      <c r="R18" s="83"/>
    </row>
    <row r="19" spans="1:18" s="49" customFormat="1" x14ac:dyDescent="0.25">
      <c r="A19" s="1"/>
      <c r="B19" s="1" t="s">
        <v>39</v>
      </c>
      <c r="C19" s="11">
        <v>2141</v>
      </c>
      <c r="D19" s="11">
        <v>2064</v>
      </c>
      <c r="E19" s="11">
        <v>2195</v>
      </c>
      <c r="F19" s="11">
        <v>2376</v>
      </c>
      <c r="G19" s="11">
        <v>2130</v>
      </c>
      <c r="H19" s="11">
        <v>2258</v>
      </c>
      <c r="I19" s="66">
        <f t="shared" ref="I19:K19" si="16">I20*I11</f>
        <v>2175.4409931106202</v>
      </c>
      <c r="J19" s="83">
        <f t="shared" si="16"/>
        <v>2108.5930032154347</v>
      </c>
      <c r="K19" s="83">
        <f t="shared" si="16"/>
        <v>2786.7266666666669</v>
      </c>
      <c r="L19" s="83">
        <f>L20*L11</f>
        <v>2634.7474358974355</v>
      </c>
      <c r="M19" s="83">
        <f t="shared" ref="M19:R19" si="17">M20*M11</f>
        <v>2741.956923076923</v>
      </c>
      <c r="N19" s="83">
        <f t="shared" si="17"/>
        <v>3405.9743589743575</v>
      </c>
      <c r="O19" s="83">
        <f t="shared" si="17"/>
        <v>3419.0384615384601</v>
      </c>
      <c r="P19" s="83">
        <f t="shared" si="17"/>
        <v>3502.1538461538448</v>
      </c>
      <c r="Q19" s="83">
        <f t="shared" si="17"/>
        <v>3581.9166666666652</v>
      </c>
      <c r="R19" s="83">
        <f t="shared" si="17"/>
        <v>3608.2179487179474</v>
      </c>
    </row>
    <row r="20" spans="1:18" s="49" customFormat="1" x14ac:dyDescent="0.25">
      <c r="A20" s="1"/>
      <c r="B20" s="73" t="s">
        <v>16</v>
      </c>
      <c r="C20" s="74">
        <f t="shared" ref="C20:H20" si="18">C19/C11</f>
        <v>5.5959226346053319E-2</v>
      </c>
      <c r="D20" s="74">
        <f t="shared" si="18"/>
        <v>5.1533007090781985E-2</v>
      </c>
      <c r="E20" s="74">
        <f t="shared" si="18"/>
        <v>5.1762763825020632E-2</v>
      </c>
      <c r="F20" s="74">
        <f t="shared" si="18"/>
        <v>5.5019103855505382E-2</v>
      </c>
      <c r="G20" s="74">
        <f t="shared" si="18"/>
        <v>4.5271950519670978E-2</v>
      </c>
      <c r="H20" s="74">
        <f t="shared" si="18"/>
        <v>4.2378289103261892E-2</v>
      </c>
      <c r="I20" s="78">
        <v>4.0647253234503369E-2</v>
      </c>
      <c r="J20" s="79">
        <v>3.8562417761803851E-2</v>
      </c>
      <c r="K20" s="79">
        <v>4.9798546580891119E-2</v>
      </c>
      <c r="L20" s="79">
        <v>4.5293921882369526E-2</v>
      </c>
      <c r="M20" s="79">
        <v>4.5990555569891366E-2</v>
      </c>
      <c r="N20" s="79">
        <v>5.4899651176246914E-2</v>
      </c>
      <c r="O20" s="79">
        <v>5.350607921030455E-2</v>
      </c>
      <c r="P20" s="79">
        <v>5.3127333831217316E-2</v>
      </c>
      <c r="Q20" s="79">
        <v>5.2574734576055569E-2</v>
      </c>
      <c r="R20" s="79">
        <v>5.1151374379330143E-2</v>
      </c>
    </row>
    <row r="21" spans="1:18" s="49" customFormat="1" x14ac:dyDescent="0.25">
      <c r="A21" s="1"/>
      <c r="B21" s="1"/>
      <c r="C21" s="11"/>
      <c r="D21" s="11"/>
      <c r="E21" s="11"/>
      <c r="F21" s="11"/>
      <c r="G21" s="11"/>
      <c r="H21" s="11"/>
      <c r="I21" s="66"/>
      <c r="J21" s="83"/>
      <c r="K21" s="83"/>
      <c r="L21" s="83"/>
      <c r="M21" s="83"/>
      <c r="N21" s="83"/>
      <c r="O21" s="83"/>
      <c r="P21" s="83"/>
      <c r="Q21" s="83"/>
      <c r="R21" s="83"/>
    </row>
    <row r="22" spans="1:18" s="49" customFormat="1" x14ac:dyDescent="0.25">
      <c r="A22" s="1"/>
      <c r="B22" s="1" t="s">
        <v>12</v>
      </c>
      <c r="C22" s="11">
        <f>C19</f>
        <v>2141</v>
      </c>
      <c r="D22" s="11">
        <f t="shared" ref="D22:R22" si="19">D19</f>
        <v>2064</v>
      </c>
      <c r="E22" s="11">
        <f t="shared" si="19"/>
        <v>2195</v>
      </c>
      <c r="F22" s="11">
        <f t="shared" si="19"/>
        <v>2376</v>
      </c>
      <c r="G22" s="11">
        <f t="shared" si="19"/>
        <v>2130</v>
      </c>
      <c r="H22" s="11">
        <f t="shared" si="19"/>
        <v>2258</v>
      </c>
      <c r="I22" s="95">
        <f t="shared" si="19"/>
        <v>2175.4409931106202</v>
      </c>
      <c r="J22" s="88">
        <f t="shared" si="19"/>
        <v>2108.5930032154347</v>
      </c>
      <c r="K22" s="88">
        <f t="shared" si="19"/>
        <v>2786.7266666666669</v>
      </c>
      <c r="L22" s="88">
        <f t="shared" si="19"/>
        <v>2634.7474358974355</v>
      </c>
      <c r="M22" s="88">
        <f t="shared" si="19"/>
        <v>2741.956923076923</v>
      </c>
      <c r="N22" s="88">
        <f t="shared" si="19"/>
        <v>3405.9743589743575</v>
      </c>
      <c r="O22" s="88">
        <f t="shared" si="19"/>
        <v>3419.0384615384601</v>
      </c>
      <c r="P22" s="88">
        <f t="shared" si="19"/>
        <v>3502.1538461538448</v>
      </c>
      <c r="Q22" s="88">
        <f t="shared" si="19"/>
        <v>3581.9166666666652</v>
      </c>
      <c r="R22" s="88">
        <f t="shared" si="19"/>
        <v>3608.2179487179474</v>
      </c>
    </row>
    <row r="23" spans="1:18" s="49" customFormat="1" x14ac:dyDescent="0.25">
      <c r="A23" s="1"/>
      <c r="B23" s="73" t="s">
        <v>16</v>
      </c>
      <c r="C23" s="74">
        <f>C22/C11</f>
        <v>5.5959226346053319E-2</v>
      </c>
      <c r="D23" s="74">
        <f>D22/D11</f>
        <v>5.1533007090781985E-2</v>
      </c>
      <c r="E23" s="74">
        <f>E22/E11</f>
        <v>5.1762763825020632E-2</v>
      </c>
      <c r="F23" s="74">
        <f>F22/F11</f>
        <v>5.5019103855505382E-2</v>
      </c>
      <c r="G23" s="74">
        <f>G22/G11</f>
        <v>4.5271950519670978E-2</v>
      </c>
      <c r="H23" s="74">
        <f>H22/H11</f>
        <v>4.2378289103261892E-2</v>
      </c>
      <c r="I23" s="75">
        <f>I22/I11</f>
        <v>4.0647253234503369E-2</v>
      </c>
      <c r="J23" s="76">
        <f>J22/J11</f>
        <v>3.8562417761803851E-2</v>
      </c>
      <c r="K23" s="76">
        <f>K22/K11</f>
        <v>4.9798546580891119E-2</v>
      </c>
      <c r="L23" s="76">
        <f>L22/L11</f>
        <v>4.5293921882369526E-2</v>
      </c>
      <c r="M23" s="76">
        <f>M22/M11</f>
        <v>4.5990555569891366E-2</v>
      </c>
      <c r="N23" s="76">
        <f>N22/N11</f>
        <v>5.4899651176246914E-2</v>
      </c>
      <c r="O23" s="76">
        <f>O22/O11</f>
        <v>5.350607921030455E-2</v>
      </c>
      <c r="P23" s="76">
        <f>P22/P11</f>
        <v>5.3127333831217316E-2</v>
      </c>
      <c r="Q23" s="76">
        <f>Q22/Q11</f>
        <v>5.2574734576055569E-2</v>
      </c>
      <c r="R23" s="76">
        <f>R22/R11</f>
        <v>5.1151374379330143E-2</v>
      </c>
    </row>
    <row r="24" spans="1:18" s="49" customFormat="1" x14ac:dyDescent="0.25">
      <c r="A24" s="1"/>
      <c r="B24" s="1"/>
      <c r="C24" s="14"/>
      <c r="D24" s="14"/>
      <c r="E24" s="14"/>
      <c r="F24" s="14"/>
      <c r="G24" s="14"/>
      <c r="H24" s="14"/>
      <c r="I24" s="67"/>
      <c r="J24" s="64"/>
      <c r="K24" s="64"/>
      <c r="L24" s="64"/>
      <c r="M24" s="64"/>
      <c r="N24" s="64"/>
      <c r="O24" s="64"/>
      <c r="P24" s="64"/>
      <c r="Q24" s="64"/>
      <c r="R24" s="64"/>
    </row>
    <row r="25" spans="1:18" s="49" customFormat="1" x14ac:dyDescent="0.25">
      <c r="A25" s="1"/>
      <c r="B25" s="1" t="s">
        <v>13</v>
      </c>
      <c r="C25" s="11">
        <f>C16-C18-C19</f>
        <v>2921</v>
      </c>
      <c r="D25" s="11">
        <f>D16-D18-D19</f>
        <v>3032</v>
      </c>
      <c r="E25" s="11">
        <f>E16-E18-E19</f>
        <v>2827</v>
      </c>
      <c r="F25" s="11">
        <f>F16-F18-F19</f>
        <v>3008</v>
      </c>
      <c r="G25" s="11">
        <f>G16-G18-G19</f>
        <v>4396</v>
      </c>
      <c r="H25" s="11">
        <f>H16-H18-H19</f>
        <v>4410</v>
      </c>
      <c r="I25" s="68">
        <f>I16-I19</f>
        <v>955.47900688937989</v>
      </c>
      <c r="J25" s="89">
        <f>J16-J18-J19</f>
        <v>1926.7909967845658</v>
      </c>
      <c r="K25" s="89">
        <f>K16-K18-K19</f>
        <v>2725.3333333333335</v>
      </c>
      <c r="L25" s="89">
        <f>L16-L18-L19</f>
        <v>3473.102564102564</v>
      </c>
      <c r="M25" s="89">
        <f>M16-M18-M19</f>
        <v>4650.9230769230762</v>
      </c>
      <c r="N25" s="89">
        <f>N16-N18-N19</f>
        <v>4349.0256410256407</v>
      </c>
      <c r="O25" s="89">
        <f>O16-O18-O19</f>
        <v>4568.4615384615381</v>
      </c>
      <c r="P25" s="89">
        <f>P16-P18-P19</f>
        <v>4737.8461538461534</v>
      </c>
      <c r="Q25" s="89">
        <f>Q16-Q18-Q19</f>
        <v>4934.333333333333</v>
      </c>
      <c r="R25" s="89">
        <f>R16-R18-R19</f>
        <v>5209.2820512820508</v>
      </c>
    </row>
    <row r="26" spans="1:18" s="49" customFormat="1" x14ac:dyDescent="0.25">
      <c r="A26" s="1"/>
      <c r="B26" s="1" t="s">
        <v>53</v>
      </c>
      <c r="C26" s="82">
        <v>-293</v>
      </c>
      <c r="D26" s="82">
        <v>-287</v>
      </c>
      <c r="E26" s="82">
        <v>-396</v>
      </c>
      <c r="F26" s="82">
        <v>-344</v>
      </c>
      <c r="G26" s="82">
        <v>-355</v>
      </c>
      <c r="H26" s="82">
        <v>-261</v>
      </c>
      <c r="I26" s="96">
        <v>-321.12</v>
      </c>
      <c r="J26" s="90">
        <v>-328.08</v>
      </c>
      <c r="K26" s="90">
        <v>-335.76</v>
      </c>
      <c r="L26" s="90">
        <v>-349.02</v>
      </c>
      <c r="M26" s="90">
        <v>-357.71999999999997</v>
      </c>
      <c r="N26" s="90">
        <v>-372.2399999999999</v>
      </c>
      <c r="O26" s="90">
        <v>-383.39999999999992</v>
      </c>
      <c r="P26" s="90">
        <v>-395.51999999999992</v>
      </c>
      <c r="Q26" s="90">
        <v>-408.77999999999992</v>
      </c>
      <c r="R26" s="90">
        <v>-423.2399999999999</v>
      </c>
    </row>
    <row r="27" spans="1:18" s="49" customFormat="1" x14ac:dyDescent="0.25">
      <c r="A27" s="1"/>
      <c r="B27" s="73" t="s">
        <v>16</v>
      </c>
      <c r="C27" s="74">
        <f>C26/C11</f>
        <v>-7.6581285938316776E-3</v>
      </c>
      <c r="D27" s="74">
        <f t="shared" ref="D27:R27" si="20">D26/D11</f>
        <v>-7.1656846100069905E-3</v>
      </c>
      <c r="E27" s="74">
        <f t="shared" si="20"/>
        <v>-9.3385214007782099E-3</v>
      </c>
      <c r="F27" s="74">
        <f t="shared" si="20"/>
        <v>-7.965728841032766E-3</v>
      </c>
      <c r="G27" s="74">
        <f t="shared" si="20"/>
        <v>-7.54532508661183E-3</v>
      </c>
      <c r="H27" s="74">
        <f t="shared" si="20"/>
        <v>-4.8984647723433802E-3</v>
      </c>
      <c r="I27" s="94">
        <f t="shared" si="20"/>
        <v>-6.0000000000000001E-3</v>
      </c>
      <c r="J27" s="84">
        <f t="shared" si="20"/>
        <v>-6.0000000000000001E-3</v>
      </c>
      <c r="K27" s="84">
        <f t="shared" si="20"/>
        <v>-6.0000000000000001E-3</v>
      </c>
      <c r="L27" s="84">
        <f t="shared" si="20"/>
        <v>-5.9999999999999993E-3</v>
      </c>
      <c r="M27" s="84">
        <f t="shared" si="20"/>
        <v>-6.0000000000000001E-3</v>
      </c>
      <c r="N27" s="84">
        <f t="shared" si="20"/>
        <v>-6.0000000000000001E-3</v>
      </c>
      <c r="O27" s="84">
        <f t="shared" si="20"/>
        <v>-6.0000000000000001E-3</v>
      </c>
      <c r="P27" s="84">
        <f t="shared" si="20"/>
        <v>-6.0000000000000001E-3</v>
      </c>
      <c r="Q27" s="84">
        <f t="shared" si="20"/>
        <v>-6.0000000000000001E-3</v>
      </c>
      <c r="R27" s="84">
        <f t="shared" si="20"/>
        <v>-6.0000000000000001E-3</v>
      </c>
    </row>
    <row r="28" spans="1:18" s="49" customFormat="1" x14ac:dyDescent="0.25">
      <c r="A28" s="1"/>
      <c r="B28" s="1"/>
      <c r="C28" s="82"/>
      <c r="D28" s="82"/>
      <c r="E28" s="82"/>
      <c r="F28" s="82"/>
      <c r="G28" s="82"/>
      <c r="H28" s="82"/>
      <c r="I28" s="96"/>
      <c r="J28" s="90"/>
      <c r="K28" s="90"/>
      <c r="L28" s="90"/>
      <c r="M28" s="90"/>
      <c r="N28" s="90"/>
      <c r="O28" s="90"/>
      <c r="P28" s="90"/>
      <c r="Q28" s="90"/>
      <c r="R28" s="90"/>
    </row>
    <row r="29" spans="1:18" s="49" customFormat="1" x14ac:dyDescent="0.25">
      <c r="A29" s="1"/>
      <c r="B29" s="1" t="s">
        <v>14</v>
      </c>
      <c r="C29" s="11">
        <f>C25+C26</f>
        <v>2628</v>
      </c>
      <c r="D29" s="11">
        <f>D25+D26</f>
        <v>2745</v>
      </c>
      <c r="E29" s="11">
        <f>E25+E26</f>
        <v>2431</v>
      </c>
      <c r="F29" s="11">
        <f>F25+F26</f>
        <v>2664</v>
      </c>
      <c r="G29" s="11">
        <f>G25+G26</f>
        <v>4041</v>
      </c>
      <c r="H29" s="11">
        <f>H25+H26</f>
        <v>4149</v>
      </c>
      <c r="I29" s="95">
        <f>I25+I26</f>
        <v>634.35900688937988</v>
      </c>
      <c r="J29" s="88">
        <f>J25+J26</f>
        <v>1598.7109967845659</v>
      </c>
      <c r="K29" s="88">
        <f>K25+K26</f>
        <v>2389.5733333333337</v>
      </c>
      <c r="L29" s="88">
        <f>L25+L26</f>
        <v>3124.082564102564</v>
      </c>
      <c r="M29" s="88">
        <f>M25+M26</f>
        <v>4293.203076923076</v>
      </c>
      <c r="N29" s="88">
        <f>N25+N26</f>
        <v>3976.7856410256409</v>
      </c>
      <c r="O29" s="88">
        <f>O25+O26</f>
        <v>4185.0615384615385</v>
      </c>
      <c r="P29" s="88">
        <f>P25+P26</f>
        <v>4342.3261538461538</v>
      </c>
      <c r="Q29" s="88">
        <f>Q25+Q26</f>
        <v>4525.5533333333333</v>
      </c>
      <c r="R29" s="88">
        <f>R25+R26</f>
        <v>4786.042051282051</v>
      </c>
    </row>
    <row r="30" spans="1:18" s="49" customFormat="1" x14ac:dyDescent="0.25">
      <c r="A30" s="1"/>
      <c r="B30" s="1"/>
      <c r="C30" s="82"/>
      <c r="D30" s="82"/>
      <c r="E30" s="82"/>
      <c r="F30" s="82"/>
      <c r="G30" s="82"/>
      <c r="H30" s="82"/>
      <c r="I30" s="97"/>
      <c r="J30" s="91"/>
      <c r="K30" s="91"/>
      <c r="L30" s="91"/>
      <c r="M30" s="91"/>
      <c r="N30" s="91"/>
      <c r="O30" s="91"/>
      <c r="P30" s="91"/>
      <c r="Q30" s="91"/>
      <c r="R30" s="91"/>
    </row>
    <row r="31" spans="1:18" s="49" customFormat="1" x14ac:dyDescent="0.25">
      <c r="A31" s="1"/>
      <c r="B31" s="1" t="s">
        <v>15</v>
      </c>
      <c r="C31" s="11">
        <f t="shared" ref="C31:R31" si="21">C25</f>
        <v>2921</v>
      </c>
      <c r="D31" s="11">
        <f t="shared" si="21"/>
        <v>3032</v>
      </c>
      <c r="E31" s="11">
        <f t="shared" si="21"/>
        <v>2827</v>
      </c>
      <c r="F31" s="11">
        <f t="shared" si="21"/>
        <v>3008</v>
      </c>
      <c r="G31" s="11">
        <f t="shared" si="21"/>
        <v>4396</v>
      </c>
      <c r="H31" s="11">
        <f t="shared" si="21"/>
        <v>4410</v>
      </c>
      <c r="I31" s="95">
        <f t="shared" si="21"/>
        <v>955.47900688937989</v>
      </c>
      <c r="J31" s="88">
        <f t="shared" si="21"/>
        <v>1926.7909967845658</v>
      </c>
      <c r="K31" s="88">
        <f t="shared" si="21"/>
        <v>2725.3333333333335</v>
      </c>
      <c r="L31" s="88">
        <f t="shared" si="21"/>
        <v>3473.102564102564</v>
      </c>
      <c r="M31" s="88">
        <f t="shared" si="21"/>
        <v>4650.9230769230762</v>
      </c>
      <c r="N31" s="88">
        <f t="shared" si="21"/>
        <v>4349.0256410256407</v>
      </c>
      <c r="O31" s="88">
        <f t="shared" si="21"/>
        <v>4568.4615384615381</v>
      </c>
      <c r="P31" s="88">
        <f t="shared" si="21"/>
        <v>4737.8461538461534</v>
      </c>
      <c r="Q31" s="88">
        <f t="shared" si="21"/>
        <v>4934.333333333333</v>
      </c>
      <c r="R31" s="88">
        <f t="shared" si="21"/>
        <v>5209.2820512820508</v>
      </c>
    </row>
    <row r="32" spans="1:18" s="49" customFormat="1" x14ac:dyDescent="0.25">
      <c r="A32" s="1"/>
      <c r="B32" s="73" t="s">
        <v>16</v>
      </c>
      <c r="C32" s="74">
        <f>C31/C11</f>
        <v>7.634605331939362E-2</v>
      </c>
      <c r="D32" s="74">
        <f>D31/D11</f>
        <v>7.5701587935683615E-2</v>
      </c>
      <c r="E32" s="74">
        <f>E31/E11</f>
        <v>6.6666666666666666E-2</v>
      </c>
      <c r="F32" s="74">
        <f>F31/F11</f>
        <v>6.965381498205396E-2</v>
      </c>
      <c r="G32" s="74">
        <f>G31/G11</f>
        <v>9.3434504452804518E-2</v>
      </c>
      <c r="H32" s="74">
        <f>H31/H11</f>
        <v>8.276716339476746E-2</v>
      </c>
      <c r="I32" s="75">
        <f>I31/I11</f>
        <v>1.7852746765496634E-2</v>
      </c>
      <c r="J32" s="76">
        <f>J31/J11</f>
        <v>3.5237582238196154E-2</v>
      </c>
      <c r="K32" s="76">
        <f>K31/K11</f>
        <v>4.8701453419108892E-2</v>
      </c>
      <c r="L32" s="76">
        <f>L31/L11</f>
        <v>5.9706078117630464E-2</v>
      </c>
      <c r="M32" s="76">
        <f>M31/M11</f>
        <v>7.800944443010864E-2</v>
      </c>
      <c r="N32" s="76">
        <f>N31/N11</f>
        <v>7.0100348823753086E-2</v>
      </c>
      <c r="O32" s="76">
        <f>O31/O11</f>
        <v>7.149392078969545E-2</v>
      </c>
      <c r="P32" s="76">
        <f>P31/P11</f>
        <v>7.1872666168782684E-2</v>
      </c>
      <c r="Q32" s="76">
        <f>Q31/Q11</f>
        <v>7.2425265423944438E-2</v>
      </c>
      <c r="R32" s="76">
        <f>R31/R11</f>
        <v>7.3848625620669864E-2</v>
      </c>
    </row>
    <row r="33" spans="1:86" s="49" customFormat="1" x14ac:dyDescent="0.25">
      <c r="A33" s="1"/>
      <c r="B33" s="13"/>
      <c r="C33" s="1"/>
      <c r="D33" s="1"/>
      <c r="E33" s="2"/>
      <c r="F33" s="1"/>
      <c r="G33" s="1"/>
      <c r="H33" s="1"/>
      <c r="I33" s="20"/>
      <c r="J33" s="85"/>
      <c r="K33" s="85"/>
      <c r="L33" s="85"/>
      <c r="M33" s="85"/>
      <c r="N33" s="85"/>
      <c r="O33" s="85"/>
      <c r="P33" s="85"/>
      <c r="Q33" s="85"/>
      <c r="R33" s="85"/>
    </row>
    <row r="34" spans="1:86" s="49" customFormat="1" x14ac:dyDescent="0.25">
      <c r="A34" s="1"/>
      <c r="B34" s="1" t="s">
        <v>17</v>
      </c>
      <c r="C34" s="11">
        <v>850</v>
      </c>
      <c r="D34" s="11">
        <v>-282</v>
      </c>
      <c r="E34" s="21">
        <v>396</v>
      </c>
      <c r="F34" s="11">
        <v>593</v>
      </c>
      <c r="G34" s="11">
        <v>981</v>
      </c>
      <c r="H34" s="11">
        <v>900</v>
      </c>
      <c r="I34" s="66">
        <f>I31*I35</f>
        <v>220.42900688937993</v>
      </c>
      <c r="J34" s="83">
        <f t="shared" ref="J34:R34" si="22">J31*J35</f>
        <v>428.71099678456591</v>
      </c>
      <c r="K34" s="83">
        <f t="shared" si="22"/>
        <v>599.57333333333338</v>
      </c>
      <c r="L34" s="83">
        <f t="shared" si="22"/>
        <v>764.08256410256411</v>
      </c>
      <c r="M34" s="83">
        <f t="shared" si="22"/>
        <v>1023.2030769230768</v>
      </c>
      <c r="N34" s="83">
        <f t="shared" si="22"/>
        <v>956.78564102564098</v>
      </c>
      <c r="O34" s="83">
        <f t="shared" si="22"/>
        <v>1005.0615384615384</v>
      </c>
      <c r="P34" s="83">
        <f t="shared" si="22"/>
        <v>1042.3261538461538</v>
      </c>
      <c r="Q34" s="83">
        <f t="shared" si="22"/>
        <v>1085.5533333333333</v>
      </c>
      <c r="R34" s="83">
        <f t="shared" si="22"/>
        <v>1146.0420512820513</v>
      </c>
    </row>
    <row r="35" spans="1:86" s="49" customFormat="1" x14ac:dyDescent="0.25">
      <c r="A35" s="1"/>
      <c r="B35" s="73" t="s">
        <v>18</v>
      </c>
      <c r="C35" s="80">
        <f t="shared" ref="C35:H35" si="23">C34/C31</f>
        <v>0.29099623416638137</v>
      </c>
      <c r="D35" s="80">
        <f t="shared" si="23"/>
        <v>-9.3007915567282329E-2</v>
      </c>
      <c r="E35" s="80">
        <f t="shared" si="23"/>
        <v>0.14007782101167315</v>
      </c>
      <c r="F35" s="80">
        <f t="shared" si="23"/>
        <v>0.19714095744680851</v>
      </c>
      <c r="G35" s="80">
        <f t="shared" si="23"/>
        <v>0.22315741583257506</v>
      </c>
      <c r="H35" s="80">
        <f t="shared" si="23"/>
        <v>0.20408163265306123</v>
      </c>
      <c r="I35" s="77">
        <v>0.23069999999999999</v>
      </c>
      <c r="J35" s="87">
        <v>0.2225</v>
      </c>
      <c r="K35" s="87">
        <v>0.22</v>
      </c>
      <c r="L35" s="87">
        <v>0.22</v>
      </c>
      <c r="M35" s="87">
        <v>0.22</v>
      </c>
      <c r="N35" s="87">
        <v>0.22</v>
      </c>
      <c r="O35" s="87">
        <v>0.22</v>
      </c>
      <c r="P35" s="87">
        <v>0.22</v>
      </c>
      <c r="Q35" s="87">
        <v>0.22</v>
      </c>
      <c r="R35" s="87">
        <v>0.22</v>
      </c>
    </row>
    <row r="36" spans="1:86" s="49" customFormat="1" x14ac:dyDescent="0.25">
      <c r="A36" s="1"/>
      <c r="B36" s="1"/>
      <c r="C36" s="1"/>
      <c r="D36" s="1"/>
      <c r="E36" s="1"/>
      <c r="F36" s="1"/>
      <c r="G36" s="1"/>
      <c r="H36" s="1"/>
      <c r="I36" s="20"/>
      <c r="J36" s="85"/>
      <c r="K36" s="85"/>
      <c r="L36" s="85"/>
      <c r="M36" s="85"/>
      <c r="N36" s="85"/>
      <c r="O36" s="85"/>
      <c r="P36" s="85"/>
      <c r="Q36" s="85"/>
      <c r="R36" s="85"/>
    </row>
    <row r="37" spans="1:86" s="49" customFormat="1" x14ac:dyDescent="0.25">
      <c r="A37" s="1"/>
      <c r="B37" s="9" t="s">
        <v>19</v>
      </c>
      <c r="C37" s="9">
        <v>2017</v>
      </c>
      <c r="D37" s="9">
        <v>2018</v>
      </c>
      <c r="E37" s="10">
        <v>2019</v>
      </c>
      <c r="F37" s="9">
        <v>2020</v>
      </c>
      <c r="G37" s="9">
        <v>2021</v>
      </c>
      <c r="H37" s="9">
        <v>2022</v>
      </c>
      <c r="I37" s="69">
        <v>2023</v>
      </c>
      <c r="J37" s="92">
        <v>2024</v>
      </c>
      <c r="K37" s="92">
        <v>2025</v>
      </c>
      <c r="L37" s="92">
        <v>2026</v>
      </c>
      <c r="M37" s="92">
        <v>2027</v>
      </c>
      <c r="N37" s="92">
        <v>2028</v>
      </c>
      <c r="O37" s="92">
        <v>2029</v>
      </c>
      <c r="P37" s="92">
        <v>2030</v>
      </c>
      <c r="Q37" s="92">
        <v>2031</v>
      </c>
      <c r="R37" s="92">
        <v>2032</v>
      </c>
      <c r="S37" s="9">
        <v>2033</v>
      </c>
      <c r="T37" s="9">
        <v>2034</v>
      </c>
      <c r="U37" s="9">
        <v>2035</v>
      </c>
      <c r="V37" s="9">
        <v>2036</v>
      </c>
      <c r="W37" s="9">
        <v>2037</v>
      </c>
      <c r="X37" s="9">
        <v>2038</v>
      </c>
      <c r="Y37" s="9">
        <v>2039</v>
      </c>
      <c r="Z37" s="9">
        <v>2040</v>
      </c>
      <c r="AA37" s="9">
        <v>2041</v>
      </c>
      <c r="AB37" s="9">
        <v>2042</v>
      </c>
      <c r="AC37" s="9">
        <v>2043</v>
      </c>
      <c r="AD37" s="9">
        <v>2044</v>
      </c>
      <c r="AE37" s="9">
        <v>2045</v>
      </c>
      <c r="AF37" s="9">
        <v>2046</v>
      </c>
      <c r="AG37" s="9">
        <v>2047</v>
      </c>
      <c r="AH37" s="9">
        <v>2048</v>
      </c>
      <c r="AI37" s="9">
        <v>2049</v>
      </c>
      <c r="AJ37" s="9">
        <v>2050</v>
      </c>
      <c r="AK37" s="9">
        <v>2051</v>
      </c>
      <c r="AL37" s="9">
        <v>2052</v>
      </c>
      <c r="AM37" s="9">
        <v>2053</v>
      </c>
      <c r="AN37" s="9">
        <v>2054</v>
      </c>
      <c r="AO37" s="9">
        <v>2055</v>
      </c>
      <c r="AP37" s="9">
        <v>2056</v>
      </c>
      <c r="AQ37" s="9">
        <v>2057</v>
      </c>
      <c r="AR37" s="9">
        <v>2058</v>
      </c>
      <c r="AS37" s="9">
        <v>2059</v>
      </c>
      <c r="AT37" s="9">
        <v>2060</v>
      </c>
      <c r="AU37" s="9">
        <v>2061</v>
      </c>
      <c r="AV37" s="9">
        <v>2062</v>
      </c>
      <c r="AW37" s="9">
        <v>2063</v>
      </c>
      <c r="AX37" s="9">
        <v>2064</v>
      </c>
      <c r="AY37" s="9">
        <v>2065</v>
      </c>
      <c r="AZ37" s="9">
        <v>2066</v>
      </c>
      <c r="BA37" s="9">
        <v>2067</v>
      </c>
      <c r="BB37" s="9">
        <v>2068</v>
      </c>
      <c r="BC37" s="9">
        <v>2069</v>
      </c>
      <c r="BD37" s="9">
        <v>2070</v>
      </c>
      <c r="BE37" s="9">
        <v>2071</v>
      </c>
      <c r="BF37" s="9">
        <v>2072</v>
      </c>
      <c r="BG37" s="9">
        <v>2073</v>
      </c>
      <c r="BH37" s="9">
        <v>2074</v>
      </c>
      <c r="BI37" s="9">
        <v>2075</v>
      </c>
      <c r="BJ37" s="9">
        <v>2076</v>
      </c>
      <c r="BK37" s="9">
        <v>2077</v>
      </c>
      <c r="BL37" s="9">
        <v>2078</v>
      </c>
      <c r="BM37" s="9">
        <v>2079</v>
      </c>
      <c r="BN37" s="9">
        <v>2080</v>
      </c>
      <c r="BO37" s="9">
        <v>2081</v>
      </c>
      <c r="BP37" s="9">
        <v>2082</v>
      </c>
      <c r="BQ37" s="9">
        <v>2083</v>
      </c>
      <c r="BR37" s="9">
        <v>2084</v>
      </c>
      <c r="BS37" s="9">
        <v>2085</v>
      </c>
      <c r="BT37" s="9">
        <v>2086</v>
      </c>
      <c r="BU37" s="9">
        <v>2087</v>
      </c>
      <c r="BV37" s="9">
        <v>2088</v>
      </c>
      <c r="BW37" s="9">
        <v>2089</v>
      </c>
      <c r="BX37" s="9">
        <v>2090</v>
      </c>
      <c r="BY37" s="9">
        <v>2091</v>
      </c>
      <c r="BZ37" s="9">
        <v>2092</v>
      </c>
      <c r="CA37" s="9">
        <v>2093</v>
      </c>
      <c r="CB37" s="9">
        <v>2094</v>
      </c>
      <c r="CC37" s="9">
        <v>2095</v>
      </c>
      <c r="CD37" s="9">
        <v>2096</v>
      </c>
      <c r="CE37" s="9">
        <v>2097</v>
      </c>
      <c r="CF37" s="9">
        <v>2098</v>
      </c>
      <c r="CG37" s="9">
        <v>2099</v>
      </c>
      <c r="CH37" s="9">
        <v>2100</v>
      </c>
    </row>
    <row r="38" spans="1:86" s="49" customFormat="1" x14ac:dyDescent="0.25">
      <c r="A38" s="1"/>
      <c r="B38" s="1" t="s">
        <v>20</v>
      </c>
      <c r="C38" s="11">
        <f>642+119</f>
        <v>761</v>
      </c>
      <c r="D38" s="11">
        <f>723+220</f>
        <v>943</v>
      </c>
      <c r="E38" s="21">
        <f>819+279</f>
        <v>1098</v>
      </c>
      <c r="F38" s="11">
        <v>1237</v>
      </c>
      <c r="G38" s="11">
        <v>1225</v>
      </c>
      <c r="H38" s="11">
        <v>1202</v>
      </c>
      <c r="I38" s="66">
        <f>I39*I11</f>
        <v>1260</v>
      </c>
      <c r="J38" s="83">
        <f>J39*J11</f>
        <v>1300</v>
      </c>
      <c r="K38" s="83">
        <f>K39*K11</f>
        <v>1530</v>
      </c>
      <c r="L38" s="83">
        <f>L39*L11</f>
        <v>1396.08</v>
      </c>
      <c r="M38" s="83">
        <f>M39*M11</f>
        <v>1430.8799999999999</v>
      </c>
      <c r="N38" s="83">
        <f>N39*N11</f>
        <v>1488.9599999999996</v>
      </c>
      <c r="O38" s="83">
        <f>O39*O11</f>
        <v>1533.5999999999997</v>
      </c>
      <c r="P38" s="83">
        <f>P39*P11</f>
        <v>1582.0799999999997</v>
      </c>
      <c r="Q38" s="83">
        <f>Q39*Q11</f>
        <v>1635.1199999999997</v>
      </c>
      <c r="R38" s="83">
        <f>R39*R11</f>
        <v>1692.9599999999996</v>
      </c>
    </row>
    <row r="39" spans="1:86" s="49" customFormat="1" x14ac:dyDescent="0.25">
      <c r="A39" s="1"/>
      <c r="B39" s="73" t="s">
        <v>16</v>
      </c>
      <c r="C39" s="74">
        <f>C38/C11</f>
        <v>1.989022477783586E-2</v>
      </c>
      <c r="D39" s="74">
        <f>D38/D11</f>
        <v>2.3544392290022972E-2</v>
      </c>
      <c r="E39" s="74">
        <f>E38/E11</f>
        <v>2.5893172974885036E-2</v>
      </c>
      <c r="F39" s="74">
        <f>F38/F11</f>
        <v>2.8644205163830032E-2</v>
      </c>
      <c r="G39" s="74">
        <f>G38/G11</f>
        <v>2.6036685158026738E-2</v>
      </c>
      <c r="H39" s="74">
        <f>H38/H11</f>
        <v>2.2559213242746144E-2</v>
      </c>
      <c r="I39" s="94">
        <v>2.3542600896860985E-2</v>
      </c>
      <c r="J39" s="84">
        <v>2.3774689100219459E-2</v>
      </c>
      <c r="K39" s="84">
        <v>2.7340957827019299E-2</v>
      </c>
      <c r="L39" s="76">
        <v>2.4E-2</v>
      </c>
      <c r="M39" s="76">
        <v>2.4E-2</v>
      </c>
      <c r="N39" s="76">
        <v>2.4E-2</v>
      </c>
      <c r="O39" s="76">
        <v>2.4E-2</v>
      </c>
      <c r="P39" s="76">
        <v>2.4E-2</v>
      </c>
      <c r="Q39" s="76">
        <v>2.4E-2</v>
      </c>
      <c r="R39" s="76">
        <v>2.4E-2</v>
      </c>
    </row>
    <row r="40" spans="1:86" s="49" customFormat="1" x14ac:dyDescent="0.25">
      <c r="A40" s="1"/>
      <c r="B40" s="1"/>
      <c r="C40" s="61"/>
      <c r="D40" s="61"/>
      <c r="E40" s="61"/>
      <c r="F40" s="61"/>
      <c r="G40" s="61"/>
      <c r="H40" s="61"/>
      <c r="I40" s="20"/>
      <c r="J40" s="85"/>
      <c r="K40" s="85"/>
      <c r="L40" s="85"/>
      <c r="M40" s="85"/>
      <c r="N40" s="85"/>
      <c r="O40" s="85"/>
      <c r="P40" s="85"/>
      <c r="Q40" s="85"/>
      <c r="R40" s="85"/>
    </row>
    <row r="41" spans="1:86" s="49" customFormat="1" x14ac:dyDescent="0.25">
      <c r="A41" s="1"/>
      <c r="B41" s="1" t="s">
        <v>21</v>
      </c>
      <c r="C41" s="11">
        <v>-1069</v>
      </c>
      <c r="D41" s="11">
        <v>-1200</v>
      </c>
      <c r="E41" s="21">
        <v>-1259</v>
      </c>
      <c r="F41" s="35">
        <v>-1199</v>
      </c>
      <c r="G41" s="11">
        <v>-1209</v>
      </c>
      <c r="H41" s="11">
        <v>-1887</v>
      </c>
      <c r="I41" s="66">
        <f>I42*I11</f>
        <v>-2310</v>
      </c>
      <c r="J41" s="83">
        <f>J42*J11</f>
        <v>-1749.9999999999998</v>
      </c>
      <c r="K41" s="83">
        <f>K42*K11</f>
        <v>-1560</v>
      </c>
      <c r="L41" s="83">
        <f>L42*L11</f>
        <v>-1620</v>
      </c>
      <c r="M41" s="83">
        <f>M42*M11</f>
        <v>-1790</v>
      </c>
      <c r="N41" s="83">
        <f>N42*N11</f>
        <v>-1550</v>
      </c>
      <c r="O41" s="83">
        <f>O42*O11</f>
        <v>-1599.9999999999998</v>
      </c>
      <c r="P41" s="83">
        <f>P42*P11</f>
        <v>-1649.9999999999995</v>
      </c>
      <c r="Q41" s="83">
        <f>Q42*Q11</f>
        <v>-1699.9999999999998</v>
      </c>
      <c r="R41" s="83">
        <f>R42*R11</f>
        <v>-1759.9999999999998</v>
      </c>
    </row>
    <row r="42" spans="1:86" s="49" customFormat="1" x14ac:dyDescent="0.25">
      <c r="A42" s="1"/>
      <c r="B42" s="73" t="s">
        <v>16</v>
      </c>
      <c r="C42" s="74">
        <f>C41/C11</f>
        <v>-2.7940407736539465E-2</v>
      </c>
      <c r="D42" s="74">
        <f>D41/D11</f>
        <v>-2.9961050634175573E-2</v>
      </c>
      <c r="E42" s="74">
        <f>E41/E11</f>
        <v>-2.9689895059544866E-2</v>
      </c>
      <c r="F42" s="74">
        <f>F41/F11</f>
        <v>-2.7764270001157811E-2</v>
      </c>
      <c r="G42" s="74">
        <f>G41/G11</f>
        <v>-2.5696614168207614E-2</v>
      </c>
      <c r="H42" s="74">
        <f>H41/H11</f>
        <v>-3.5415337262114786E-2</v>
      </c>
      <c r="I42" s="94">
        <v>-4.3161434977578475E-2</v>
      </c>
      <c r="J42" s="84">
        <v>-3.2004389173372345E-2</v>
      </c>
      <c r="K42" s="84">
        <v>-2.7877055039313797E-2</v>
      </c>
      <c r="L42" s="84">
        <v>-2.7849406910778751E-2</v>
      </c>
      <c r="M42" s="84">
        <v>-3.0023482053002353E-2</v>
      </c>
      <c r="N42" s="84">
        <v>-2.4983881366860097E-2</v>
      </c>
      <c r="O42" s="76">
        <v>-2.5039123630672927E-2</v>
      </c>
      <c r="P42" s="76">
        <v>-2.5030339805825242E-2</v>
      </c>
      <c r="Q42" s="76">
        <v>-2.4952297079113461E-2</v>
      </c>
      <c r="R42" s="76">
        <v>-2.495038276155373E-2</v>
      </c>
    </row>
    <row r="43" spans="1:86" s="49" customFormat="1" x14ac:dyDescent="0.25">
      <c r="A43" s="1"/>
      <c r="B43" s="1"/>
      <c r="C43" s="1"/>
      <c r="D43" s="1"/>
      <c r="E43" s="2"/>
      <c r="F43" s="1"/>
      <c r="G43" s="1"/>
      <c r="H43" s="1"/>
      <c r="I43" s="20"/>
      <c r="J43" s="85"/>
      <c r="K43" s="85"/>
      <c r="L43" s="85"/>
      <c r="M43" s="85"/>
      <c r="N43" s="85"/>
      <c r="O43" s="85"/>
      <c r="P43" s="85"/>
      <c r="Q43" s="85"/>
      <c r="R43" s="85"/>
    </row>
    <row r="44" spans="1:86" s="49" customFormat="1" x14ac:dyDescent="0.25">
      <c r="A44" s="1"/>
      <c r="B44" s="1" t="s">
        <v>22</v>
      </c>
      <c r="C44" s="1">
        <v>150</v>
      </c>
      <c r="D44" s="1">
        <v>286</v>
      </c>
      <c r="E44" s="2">
        <v>846</v>
      </c>
      <c r="F44" s="1">
        <v>-580</v>
      </c>
      <c r="G44" s="1">
        <v>-381</v>
      </c>
      <c r="H44" s="1">
        <v>2104</v>
      </c>
      <c r="I44" s="66">
        <f>I45*I11</f>
        <v>1605.6</v>
      </c>
      <c r="J44" s="83">
        <f>J45*J11</f>
        <v>273.39999999999998</v>
      </c>
      <c r="K44" s="83">
        <f>K45*K11</f>
        <v>279.8</v>
      </c>
      <c r="L44" s="83">
        <f>L45*L11</f>
        <v>290.85000000000002</v>
      </c>
      <c r="M44" s="83">
        <f>M45*M11</f>
        <v>298.09999999999997</v>
      </c>
      <c r="N44" s="83">
        <f>N45*N11</f>
        <v>310.19999999999993</v>
      </c>
      <c r="O44" s="83">
        <f>O45*O11</f>
        <v>319.49999999999994</v>
      </c>
      <c r="P44" s="83">
        <f>P45*P11</f>
        <v>329.59999999999991</v>
      </c>
      <c r="Q44" s="83">
        <f>Q45*Q11</f>
        <v>340.64999999999992</v>
      </c>
      <c r="R44" s="83">
        <f>R45*R11</f>
        <v>352.69999999999993</v>
      </c>
    </row>
    <row r="45" spans="1:86" s="49" customFormat="1" x14ac:dyDescent="0.25">
      <c r="A45" s="1"/>
      <c r="B45" s="73" t="s">
        <v>16</v>
      </c>
      <c r="C45" s="74">
        <f>C44/C11</f>
        <v>3.9205436487192886E-3</v>
      </c>
      <c r="D45" s="74">
        <f>D44/D11</f>
        <v>7.1407170678118442E-3</v>
      </c>
      <c r="E45" s="74">
        <f>E44/E11</f>
        <v>1.9950477538026177E-2</v>
      </c>
      <c r="F45" s="74">
        <f>F44/F11</f>
        <v>-1.3430589324997105E-2</v>
      </c>
      <c r="G45" s="74">
        <f>G44/G11</f>
        <v>-8.0979404450679075E-3</v>
      </c>
      <c r="H45" s="74">
        <f>H44/H11</f>
        <v>3.9488007206936675E-2</v>
      </c>
      <c r="I45" s="81">
        <v>0.03</v>
      </c>
      <c r="J45" s="93">
        <v>5.0000000000000001E-3</v>
      </c>
      <c r="K45" s="93">
        <v>5.0000000000000001E-3</v>
      </c>
      <c r="L45" s="93">
        <v>5.0000000000000001E-3</v>
      </c>
      <c r="M45" s="93">
        <v>5.0000000000000001E-3</v>
      </c>
      <c r="N45" s="93">
        <v>5.0000000000000001E-3</v>
      </c>
      <c r="O45" s="93">
        <v>5.0000000000000001E-3</v>
      </c>
      <c r="P45" s="93">
        <v>5.0000000000000001E-3</v>
      </c>
      <c r="Q45" s="93">
        <v>5.0000000000000001E-3</v>
      </c>
      <c r="R45" s="93">
        <v>5.0000000000000001E-3</v>
      </c>
    </row>
    <row r="46" spans="1:86" s="49" customFormat="1" x14ac:dyDescent="0.25">
      <c r="A46" s="1"/>
      <c r="B46" s="1"/>
      <c r="C46" s="1"/>
      <c r="D46" s="1"/>
      <c r="E46" s="1"/>
      <c r="F46" s="1"/>
      <c r="G46" s="1"/>
      <c r="H46" s="1"/>
      <c r="I46" s="20"/>
      <c r="J46" s="85"/>
      <c r="K46" s="85"/>
      <c r="L46" s="85"/>
      <c r="M46" s="85"/>
      <c r="N46" s="85"/>
      <c r="O46" s="85"/>
      <c r="P46" s="85"/>
      <c r="Q46" s="85"/>
      <c r="R46" s="85"/>
    </row>
    <row r="47" spans="1:86" s="49" customFormat="1" x14ac:dyDescent="0.25">
      <c r="A47" s="1"/>
      <c r="B47" s="9" t="s">
        <v>23</v>
      </c>
      <c r="C47" s="11">
        <f t="shared" ref="C47:G47" si="24">C31-C34</f>
        <v>2071</v>
      </c>
      <c r="D47" s="11">
        <f t="shared" si="24"/>
        <v>3314</v>
      </c>
      <c r="E47" s="11">
        <f t="shared" si="24"/>
        <v>2431</v>
      </c>
      <c r="F47" s="11">
        <f t="shared" si="24"/>
        <v>2415</v>
      </c>
      <c r="G47" s="11">
        <f t="shared" si="24"/>
        <v>3415</v>
      </c>
      <c r="H47" s="11">
        <f>H31-H34</f>
        <v>3510</v>
      </c>
      <c r="I47" s="68">
        <f t="shared" ref="I47" si="25">I31-I34</f>
        <v>735.05</v>
      </c>
      <c r="J47" s="89">
        <f t="shared" ref="J47:R47" si="26">J31-J34</f>
        <v>1498.08</v>
      </c>
      <c r="K47" s="89">
        <f t="shared" si="26"/>
        <v>2125.7600000000002</v>
      </c>
      <c r="L47" s="89">
        <f t="shared" si="26"/>
        <v>2709.02</v>
      </c>
      <c r="M47" s="89">
        <f t="shared" si="26"/>
        <v>3627.7199999999993</v>
      </c>
      <c r="N47" s="89">
        <f t="shared" si="26"/>
        <v>3392.24</v>
      </c>
      <c r="O47" s="89">
        <f t="shared" si="26"/>
        <v>3563.3999999999996</v>
      </c>
      <c r="P47" s="89">
        <f t="shared" si="26"/>
        <v>3695.5199999999995</v>
      </c>
      <c r="Q47" s="89">
        <f t="shared" si="26"/>
        <v>3848.7799999999997</v>
      </c>
      <c r="R47" s="89">
        <f t="shared" si="26"/>
        <v>4063.24</v>
      </c>
    </row>
    <row r="48" spans="1:86" s="49" customFormat="1" x14ac:dyDescent="0.25">
      <c r="A48" s="1"/>
      <c r="B48" s="9" t="s">
        <v>51</v>
      </c>
      <c r="C48" s="11">
        <v>4</v>
      </c>
      <c r="D48" s="11">
        <v>3</v>
      </c>
      <c r="E48" s="11">
        <v>13</v>
      </c>
      <c r="F48" s="11">
        <v>10</v>
      </c>
      <c r="G48" s="11">
        <v>13</v>
      </c>
      <c r="H48">
        <v>11</v>
      </c>
      <c r="I48" s="68"/>
      <c r="J48" s="89"/>
      <c r="K48" s="89"/>
      <c r="L48" s="89"/>
      <c r="M48" s="89"/>
      <c r="N48" s="89"/>
      <c r="O48" s="89"/>
      <c r="P48" s="89"/>
      <c r="Q48" s="89"/>
      <c r="R48" s="89"/>
    </row>
    <row r="49" spans="1:86" s="49" customFormat="1" x14ac:dyDescent="0.25">
      <c r="A49" s="1"/>
      <c r="B49" s="9" t="s">
        <v>24</v>
      </c>
      <c r="C49" s="11">
        <f t="shared" ref="C49:H49" si="27">C29-C34-C48</f>
        <v>1774</v>
      </c>
      <c r="D49" s="11">
        <f t="shared" si="27"/>
        <v>3024</v>
      </c>
      <c r="E49" s="11">
        <f t="shared" si="27"/>
        <v>2022</v>
      </c>
      <c r="F49" s="11">
        <f t="shared" si="27"/>
        <v>2061</v>
      </c>
      <c r="G49" s="11">
        <f t="shared" si="27"/>
        <v>3047</v>
      </c>
      <c r="H49" s="11">
        <f t="shared" si="27"/>
        <v>3238</v>
      </c>
      <c r="I49" s="68">
        <f>I29-I34-I48</f>
        <v>413.92999999999995</v>
      </c>
      <c r="J49" s="89">
        <f t="shared" ref="J49:R49" si="28">J29-J34-J48</f>
        <v>1170</v>
      </c>
      <c r="K49" s="89">
        <f t="shared" si="28"/>
        <v>1790.0000000000005</v>
      </c>
      <c r="L49" s="89">
        <f t="shared" si="28"/>
        <v>2360</v>
      </c>
      <c r="M49" s="89">
        <f t="shared" si="28"/>
        <v>3269.9999999999991</v>
      </c>
      <c r="N49" s="89">
        <f t="shared" si="28"/>
        <v>3020</v>
      </c>
      <c r="O49" s="89">
        <f t="shared" si="28"/>
        <v>3180</v>
      </c>
      <c r="P49" s="89">
        <f t="shared" si="28"/>
        <v>3300</v>
      </c>
      <c r="Q49" s="89">
        <f t="shared" si="28"/>
        <v>3440</v>
      </c>
      <c r="R49" s="89">
        <f t="shared" si="28"/>
        <v>3640</v>
      </c>
      <c r="S49" s="50">
        <f>R49*(1+$E$6)</f>
        <v>3640</v>
      </c>
      <c r="T49" s="50">
        <f t="shared" ref="T49:CE49" si="29">S49*(1+$E$6)</f>
        <v>3640</v>
      </c>
      <c r="U49" s="50">
        <f t="shared" si="29"/>
        <v>3640</v>
      </c>
      <c r="V49" s="50">
        <f t="shared" si="29"/>
        <v>3640</v>
      </c>
      <c r="W49" s="50">
        <f t="shared" si="29"/>
        <v>3640</v>
      </c>
      <c r="X49" s="50">
        <f t="shared" si="29"/>
        <v>3640</v>
      </c>
      <c r="Y49" s="50">
        <f t="shared" si="29"/>
        <v>3640</v>
      </c>
      <c r="Z49" s="50">
        <f t="shared" si="29"/>
        <v>3640</v>
      </c>
      <c r="AA49" s="50">
        <f t="shared" si="29"/>
        <v>3640</v>
      </c>
      <c r="AB49" s="50">
        <f t="shared" si="29"/>
        <v>3640</v>
      </c>
      <c r="AC49" s="50">
        <f t="shared" si="29"/>
        <v>3640</v>
      </c>
      <c r="AD49" s="50">
        <f t="shared" si="29"/>
        <v>3640</v>
      </c>
      <c r="AE49" s="50">
        <f t="shared" si="29"/>
        <v>3640</v>
      </c>
      <c r="AF49" s="50">
        <f t="shared" si="29"/>
        <v>3640</v>
      </c>
      <c r="AG49" s="50">
        <f t="shared" si="29"/>
        <v>3640</v>
      </c>
      <c r="AH49" s="50">
        <f t="shared" si="29"/>
        <v>3640</v>
      </c>
      <c r="AI49" s="50">
        <f t="shared" si="29"/>
        <v>3640</v>
      </c>
      <c r="AJ49" s="50">
        <f t="shared" si="29"/>
        <v>3640</v>
      </c>
      <c r="AK49" s="50">
        <f t="shared" si="29"/>
        <v>3640</v>
      </c>
      <c r="AL49" s="50">
        <f t="shared" si="29"/>
        <v>3640</v>
      </c>
      <c r="AM49" s="50">
        <f t="shared" si="29"/>
        <v>3640</v>
      </c>
      <c r="AN49" s="50">
        <f t="shared" si="29"/>
        <v>3640</v>
      </c>
      <c r="AO49" s="50">
        <f t="shared" si="29"/>
        <v>3640</v>
      </c>
      <c r="AP49" s="50">
        <f t="shared" si="29"/>
        <v>3640</v>
      </c>
      <c r="AQ49" s="50">
        <f t="shared" si="29"/>
        <v>3640</v>
      </c>
      <c r="AR49" s="50">
        <f t="shared" si="29"/>
        <v>3640</v>
      </c>
      <c r="AS49" s="50">
        <f t="shared" si="29"/>
        <v>3640</v>
      </c>
      <c r="AT49" s="50">
        <f t="shared" si="29"/>
        <v>3640</v>
      </c>
      <c r="AU49" s="50">
        <f t="shared" si="29"/>
        <v>3640</v>
      </c>
      <c r="AV49" s="50">
        <f t="shared" si="29"/>
        <v>3640</v>
      </c>
      <c r="AW49" s="50">
        <f t="shared" si="29"/>
        <v>3640</v>
      </c>
      <c r="AX49" s="50">
        <f t="shared" si="29"/>
        <v>3640</v>
      </c>
      <c r="AY49" s="50">
        <f t="shared" si="29"/>
        <v>3640</v>
      </c>
      <c r="AZ49" s="50">
        <f t="shared" si="29"/>
        <v>3640</v>
      </c>
      <c r="BA49" s="50">
        <f t="shared" si="29"/>
        <v>3640</v>
      </c>
      <c r="BB49" s="50">
        <f t="shared" si="29"/>
        <v>3640</v>
      </c>
      <c r="BC49" s="50">
        <f t="shared" si="29"/>
        <v>3640</v>
      </c>
      <c r="BD49" s="50">
        <f t="shared" si="29"/>
        <v>3640</v>
      </c>
      <c r="BE49" s="50">
        <f t="shared" si="29"/>
        <v>3640</v>
      </c>
      <c r="BF49" s="50">
        <f t="shared" si="29"/>
        <v>3640</v>
      </c>
      <c r="BG49" s="50">
        <f t="shared" si="29"/>
        <v>3640</v>
      </c>
      <c r="BH49" s="50">
        <f t="shared" si="29"/>
        <v>3640</v>
      </c>
      <c r="BI49" s="50">
        <f t="shared" si="29"/>
        <v>3640</v>
      </c>
      <c r="BJ49" s="50">
        <f t="shared" si="29"/>
        <v>3640</v>
      </c>
      <c r="BK49" s="50">
        <f t="shared" si="29"/>
        <v>3640</v>
      </c>
      <c r="BL49" s="50">
        <f t="shared" si="29"/>
        <v>3640</v>
      </c>
      <c r="BM49" s="50">
        <f t="shared" si="29"/>
        <v>3640</v>
      </c>
      <c r="BN49" s="50">
        <f t="shared" si="29"/>
        <v>3640</v>
      </c>
      <c r="BO49" s="50">
        <f t="shared" si="29"/>
        <v>3640</v>
      </c>
      <c r="BP49" s="50">
        <f t="shared" si="29"/>
        <v>3640</v>
      </c>
      <c r="BQ49" s="50">
        <f t="shared" si="29"/>
        <v>3640</v>
      </c>
      <c r="BR49" s="50">
        <f t="shared" si="29"/>
        <v>3640</v>
      </c>
      <c r="BS49" s="50">
        <f t="shared" si="29"/>
        <v>3640</v>
      </c>
      <c r="BT49" s="50">
        <f t="shared" si="29"/>
        <v>3640</v>
      </c>
      <c r="BU49" s="50">
        <f t="shared" si="29"/>
        <v>3640</v>
      </c>
      <c r="BV49" s="50">
        <f t="shared" si="29"/>
        <v>3640</v>
      </c>
      <c r="BW49" s="50">
        <f t="shared" si="29"/>
        <v>3640</v>
      </c>
      <c r="BX49" s="50">
        <f t="shared" si="29"/>
        <v>3640</v>
      </c>
      <c r="BY49" s="50">
        <f t="shared" si="29"/>
        <v>3640</v>
      </c>
      <c r="BZ49" s="50">
        <f t="shared" si="29"/>
        <v>3640</v>
      </c>
      <c r="CA49" s="50">
        <f t="shared" si="29"/>
        <v>3640</v>
      </c>
      <c r="CB49" s="50">
        <f t="shared" si="29"/>
        <v>3640</v>
      </c>
      <c r="CC49" s="50">
        <f t="shared" si="29"/>
        <v>3640</v>
      </c>
      <c r="CD49" s="50">
        <f t="shared" si="29"/>
        <v>3640</v>
      </c>
      <c r="CE49" s="50">
        <f t="shared" si="29"/>
        <v>3640</v>
      </c>
      <c r="CF49" s="50">
        <f t="shared" ref="CF49:CH49" si="30">CE49*(1+$E$6)</f>
        <v>3640</v>
      </c>
      <c r="CG49" s="50">
        <f t="shared" si="30"/>
        <v>3640</v>
      </c>
      <c r="CH49" s="50">
        <f t="shared" si="30"/>
        <v>3640</v>
      </c>
    </row>
    <row r="50" spans="1:86" s="49" customFormat="1" x14ac:dyDescent="0.25">
      <c r="A50" s="1"/>
      <c r="B50" s="6"/>
      <c r="C50" s="11"/>
      <c r="D50" s="11"/>
      <c r="E50" s="11"/>
      <c r="F50" s="11"/>
      <c r="G50" s="11"/>
      <c r="H50" s="11"/>
      <c r="I50" s="20"/>
      <c r="J50" s="85"/>
      <c r="K50" s="85"/>
      <c r="L50" s="85"/>
      <c r="M50" s="85"/>
      <c r="N50" s="85"/>
      <c r="O50" s="85"/>
      <c r="P50" s="85"/>
      <c r="Q50" s="85"/>
      <c r="R50" s="85"/>
    </row>
    <row r="51" spans="1:86" s="49" customFormat="1" x14ac:dyDescent="0.25">
      <c r="A51" s="1"/>
      <c r="B51" s="9" t="s">
        <v>25</v>
      </c>
      <c r="C51" s="11">
        <f>C47+C38+C41-C44</f>
        <v>1613</v>
      </c>
      <c r="D51" s="11">
        <f t="shared" ref="D51:R51" si="31">D47+D38+D41-D44</f>
        <v>2771</v>
      </c>
      <c r="E51" s="11">
        <f t="shared" si="31"/>
        <v>1424</v>
      </c>
      <c r="F51" s="11">
        <f t="shared" si="31"/>
        <v>3033</v>
      </c>
      <c r="G51" s="11">
        <f t="shared" si="31"/>
        <v>3812</v>
      </c>
      <c r="H51" s="11">
        <f>H47+H38+H41-H44</f>
        <v>721</v>
      </c>
      <c r="I51" s="68">
        <f>I47+I38+I41-I44</f>
        <v>-1920.55</v>
      </c>
      <c r="J51" s="89">
        <f t="shared" si="31"/>
        <v>774.68000000000018</v>
      </c>
      <c r="K51" s="89">
        <f t="shared" si="31"/>
        <v>1815.9600000000003</v>
      </c>
      <c r="L51" s="89">
        <f t="shared" si="31"/>
        <v>2194.2500000000005</v>
      </c>
      <c r="M51" s="89">
        <f t="shared" si="31"/>
        <v>2970.4999999999995</v>
      </c>
      <c r="N51" s="89">
        <f t="shared" si="31"/>
        <v>3020.9999999999991</v>
      </c>
      <c r="O51" s="89">
        <f t="shared" si="31"/>
        <v>3177.4999999999991</v>
      </c>
      <c r="P51" s="89">
        <f t="shared" si="31"/>
        <v>3298</v>
      </c>
      <c r="Q51" s="89">
        <f t="shared" si="31"/>
        <v>3443.2499999999995</v>
      </c>
      <c r="R51" s="89">
        <f t="shared" si="31"/>
        <v>3643.4999999999991</v>
      </c>
    </row>
    <row r="52" spans="1:86" s="49" customFormat="1" x14ac:dyDescent="0.25">
      <c r="A52" s="1"/>
      <c r="B52" s="22" t="s">
        <v>26</v>
      </c>
      <c r="C52" s="1"/>
      <c r="D52" s="1"/>
      <c r="E52" s="1"/>
      <c r="F52" s="1"/>
      <c r="G52" s="1"/>
      <c r="H52" s="1"/>
      <c r="I52" s="70">
        <f>I51/((1+$E$5)^I9)</f>
        <v>-1759.5901976552495</v>
      </c>
      <c r="J52" s="71">
        <f>J51/((1+$E$5)^J9)</f>
        <v>650.27068427490019</v>
      </c>
      <c r="K52" s="71">
        <f>K51/((1+$E$5)^K9)</f>
        <v>1396.5742345182882</v>
      </c>
      <c r="L52" s="71">
        <f>L51/((1+$E$5)^L9)</f>
        <v>1546.0721963379754</v>
      </c>
      <c r="M52" s="71">
        <f>M51/((1+$E$5)^M9)</f>
        <v>1917.6049213370356</v>
      </c>
      <c r="N52" s="71">
        <f>N51/((1+$E$5)^N9)</f>
        <v>1786.7599939588192</v>
      </c>
      <c r="O52" s="71">
        <f>O51/((1+$E$5)^O9)</f>
        <v>1721.8169137642283</v>
      </c>
      <c r="P52" s="71">
        <f>P51/((1+$E$5)^P9)</f>
        <v>1637.3366288325171</v>
      </c>
      <c r="Q52" s="71">
        <f>Q51/((1+$E$5)^Q9)</f>
        <v>1566.1804485997141</v>
      </c>
      <c r="R52" s="71">
        <f>R51/((1+$E$5)^R9)</f>
        <v>1518.3711092310414</v>
      </c>
    </row>
    <row r="53" spans="1:86" s="49" customFormat="1" x14ac:dyDescent="0.25">
      <c r="A53" s="1"/>
      <c r="B53" s="23"/>
      <c r="C53" s="23"/>
      <c r="D53" s="23"/>
      <c r="E53" s="23"/>
      <c r="F53" s="23"/>
      <c r="G53" s="23"/>
      <c r="H53" s="23"/>
      <c r="I53" s="72"/>
      <c r="J53" s="2"/>
      <c r="K53" s="2"/>
      <c r="L53" s="2"/>
      <c r="M53" s="2"/>
      <c r="N53" s="2"/>
      <c r="O53" s="2"/>
      <c r="P53" s="2"/>
      <c r="Q53" s="2"/>
      <c r="R53" s="2"/>
    </row>
    <row r="54" spans="1:86" s="49" customFormat="1" x14ac:dyDescent="0.25">
      <c r="A54" s="1"/>
      <c r="B54" s="1" t="s">
        <v>27</v>
      </c>
      <c r="C54" s="24">
        <f>(R51*(1+$E$6))/($E$5-$E$6)</f>
        <v>39830.235821397255</v>
      </c>
      <c r="D54" s="1"/>
      <c r="E54" s="1" t="s">
        <v>28</v>
      </c>
      <c r="F54" s="18">
        <f>NPV($E$5,I49:CH49)</f>
        <v>31280.599572236737</v>
      </c>
      <c r="G54" s="1"/>
      <c r="H54" s="1"/>
      <c r="I54" s="15"/>
      <c r="J54" s="1"/>
      <c r="K54" s="2"/>
      <c r="L54" s="51" t="s">
        <v>52</v>
      </c>
      <c r="M54" s="52"/>
      <c r="N54" s="52"/>
      <c r="O54" s="52"/>
      <c r="P54" s="52"/>
      <c r="Q54" s="51"/>
      <c r="R54" s="2"/>
    </row>
    <row r="55" spans="1:86" s="49" customFormat="1" x14ac:dyDescent="0.25">
      <c r="A55" s="1"/>
      <c r="B55" s="3" t="s">
        <v>29</v>
      </c>
      <c r="C55" s="25">
        <f>C54/((1+$E$5)^$R$9)</f>
        <v>16598.622024171516</v>
      </c>
      <c r="D55" s="16"/>
      <c r="E55" s="3"/>
      <c r="F55" s="3"/>
      <c r="G55" s="3"/>
      <c r="H55" s="16"/>
      <c r="I55" s="12"/>
      <c r="J55" s="1"/>
      <c r="K55" s="51"/>
      <c r="L55" s="56">
        <f>E62</f>
        <v>82.146115264814966</v>
      </c>
      <c r="M55" s="62">
        <v>-0.02</v>
      </c>
      <c r="N55" s="62">
        <v>-0.01</v>
      </c>
      <c r="O55" s="62">
        <v>0</v>
      </c>
      <c r="P55" s="62">
        <v>0.01</v>
      </c>
      <c r="Q55" s="62">
        <v>0.02</v>
      </c>
      <c r="R55" s="2"/>
    </row>
    <row r="56" spans="1:86" x14ac:dyDescent="0.25">
      <c r="A56" s="1"/>
      <c r="B56" s="6" t="s">
        <v>30</v>
      </c>
      <c r="C56" s="6"/>
      <c r="D56" s="1"/>
      <c r="E56" s="6"/>
      <c r="F56" s="6"/>
      <c r="G56" s="26" t="s">
        <v>31</v>
      </c>
      <c r="H56" s="26" t="s">
        <v>28</v>
      </c>
      <c r="I56" s="12"/>
      <c r="J56" s="1"/>
      <c r="K56" s="51"/>
      <c r="L56" s="53">
        <f>L57-0.5%</f>
        <v>7.4005723118282379E-2</v>
      </c>
      <c r="M56" s="57">
        <f t="dataTable" ref="M56:Q60" dt2D="1" dtr="1" r1="E6" r2="E5"/>
        <v>91.890001449705807</v>
      </c>
      <c r="N56" s="57">
        <v>98.60071317853334</v>
      </c>
      <c r="O56" s="57">
        <v>107.05989096287789</v>
      </c>
      <c r="P56" s="57">
        <v>118.0148415710927</v>
      </c>
      <c r="Q56" s="57">
        <v>132.68654447682505</v>
      </c>
    </row>
    <row r="57" spans="1:86" x14ac:dyDescent="0.25">
      <c r="A57" s="1"/>
      <c r="B57" s="27" t="s">
        <v>32</v>
      </c>
      <c r="C57" s="1"/>
      <c r="D57">
        <v>543</v>
      </c>
      <c r="E57" s="1"/>
      <c r="F57" s="1"/>
      <c r="G57" s="24">
        <f>C55+SUM(I52:R52)</f>
        <v>28580.018957370787</v>
      </c>
      <c r="H57" s="18">
        <f>F54</f>
        <v>31280.599572236737</v>
      </c>
      <c r="I57" s="15"/>
      <c r="K57" s="52"/>
      <c r="L57" s="53">
        <f>L58-1%</f>
        <v>7.9005723118282384E-2</v>
      </c>
      <c r="M57" s="57">
        <v>85.803511824904859</v>
      </c>
      <c r="N57" s="58">
        <v>91.584369959540311</v>
      </c>
      <c r="O57" s="58">
        <v>98.786183478565846</v>
      </c>
      <c r="P57" s="58">
        <v>107.98008338939455</v>
      </c>
      <c r="Q57" s="57">
        <v>120.0735114049301</v>
      </c>
    </row>
    <row r="58" spans="1:86" x14ac:dyDescent="0.25">
      <c r="A58" s="1"/>
      <c r="B58" s="28" t="s">
        <v>33</v>
      </c>
      <c r="C58" s="3"/>
      <c r="D58" s="36">
        <v>1065</v>
      </c>
      <c r="E58" s="3"/>
      <c r="F58" s="3"/>
      <c r="G58" s="3"/>
      <c r="H58" s="3"/>
      <c r="I58" s="15"/>
      <c r="K58" s="51" t="s">
        <v>1</v>
      </c>
      <c r="L58" s="53">
        <v>8.9005723118282379E-2</v>
      </c>
      <c r="M58" s="57">
        <v>75.387596556547379</v>
      </c>
      <c r="N58" s="58">
        <v>79.745053603360248</v>
      </c>
      <c r="O58" s="59">
        <v>85.063303581473278</v>
      </c>
      <c r="P58" s="58">
        <v>91.687347350141124</v>
      </c>
      <c r="Q58" s="57">
        <v>100.1409920046581</v>
      </c>
      <c r="R58" s="45"/>
    </row>
    <row r="59" spans="1:86" x14ac:dyDescent="0.25">
      <c r="A59" s="1"/>
      <c r="B59" s="6" t="s">
        <v>34</v>
      </c>
      <c r="C59" s="6"/>
      <c r="D59" s="6"/>
      <c r="E59" s="6"/>
      <c r="F59" s="6"/>
      <c r="G59" s="29">
        <f>G57+D57-D58</f>
        <v>28058.018957370787</v>
      </c>
      <c r="H59" s="30">
        <f>H57+D57-D58</f>
        <v>30758.599572236737</v>
      </c>
      <c r="I59" s="15"/>
      <c r="K59" s="51"/>
      <c r="L59" s="54">
        <f>L58+1%</f>
        <v>9.9005723118282374E-2</v>
      </c>
      <c r="M59" s="57">
        <v>66.821834280317304</v>
      </c>
      <c r="N59" s="58">
        <v>70.166596540086289</v>
      </c>
      <c r="O59" s="58">
        <v>74.178943895210537</v>
      </c>
      <c r="P59" s="58">
        <v>79.075262030784231</v>
      </c>
      <c r="Q59" s="57">
        <v>85.172424120776526</v>
      </c>
    </row>
    <row r="60" spans="1:86" x14ac:dyDescent="0.25">
      <c r="A60" s="1"/>
      <c r="B60" s="3" t="s">
        <v>35</v>
      </c>
      <c r="C60" s="3"/>
      <c r="D60" s="3">
        <v>358</v>
      </c>
      <c r="E60" s="3"/>
      <c r="F60" s="3"/>
      <c r="G60" s="3"/>
      <c r="H60" s="31"/>
      <c r="I60" s="15"/>
      <c r="K60" s="51"/>
      <c r="L60" s="54">
        <f>L59+1%</f>
        <v>0.10900572311828237</v>
      </c>
      <c r="M60" s="57">
        <v>59.672867128026127</v>
      </c>
      <c r="N60" s="57">
        <v>62.280483368681473</v>
      </c>
      <c r="O60" s="57">
        <v>65.362913144617593</v>
      </c>
      <c r="P60" s="57">
        <v>69.06020405493237</v>
      </c>
      <c r="Q60" s="57">
        <v>73.571371732805261</v>
      </c>
    </row>
    <row r="61" spans="1:86" x14ac:dyDescent="0.25">
      <c r="A61" s="1"/>
      <c r="B61" s="17" t="s">
        <v>36</v>
      </c>
      <c r="C61" s="17"/>
      <c r="D61" s="60">
        <f>D60*$J$5</f>
        <v>19707.899999999998</v>
      </c>
      <c r="E61" s="17"/>
      <c r="F61" s="17"/>
      <c r="G61" s="17"/>
      <c r="H61" s="32"/>
      <c r="I61" s="1"/>
    </row>
    <row r="62" spans="1:86" x14ac:dyDescent="0.25">
      <c r="A62" s="1"/>
      <c r="B62" s="6" t="s">
        <v>37</v>
      </c>
      <c r="D62" s="6" t="s">
        <v>38</v>
      </c>
      <c r="E62" s="33">
        <f>(G62+H62)/2</f>
        <v>82.146115264814966</v>
      </c>
      <c r="F62" s="6"/>
      <c r="G62" s="33">
        <f>G59/D60</f>
        <v>78.374354629527332</v>
      </c>
      <c r="H62" s="34">
        <f>H59/D60</f>
        <v>85.917875900102615</v>
      </c>
      <c r="I62" s="15"/>
    </row>
    <row r="63" spans="1:86" x14ac:dyDescent="0.25">
      <c r="B63" s="38"/>
      <c r="C63" s="38"/>
      <c r="D63" s="38"/>
      <c r="E63" s="38"/>
      <c r="F63" s="38"/>
      <c r="G63" s="38"/>
      <c r="H63" s="38"/>
      <c r="I63" s="20"/>
    </row>
  </sheetData>
  <sortState xmlns:xlrd2="http://schemas.microsoft.com/office/spreadsheetml/2017/richdata2" columnSort="1" ref="C10:H52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2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2" x14ac:dyDescent="0.25">
      <c r="A4" s="40" t="s">
        <v>40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1">
        <f>'TSN DCF'!I35</f>
        <v>0.23069999999999999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2">
        <v>0.78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1">
        <f>'TSN DCF'!D61</f>
        <v>19707.899999999998</v>
      </c>
      <c r="D12" s="2"/>
      <c r="E12" s="2" t="s">
        <v>33</v>
      </c>
      <c r="F12" s="2"/>
      <c r="G12" s="21">
        <f>'TSN DCF'!D58</f>
        <v>1065</v>
      </c>
      <c r="H12" s="2"/>
      <c r="I12" s="2" t="s">
        <v>45</v>
      </c>
      <c r="J12" s="2"/>
      <c r="K12" s="21">
        <f>G12+C12</f>
        <v>20772.899999999998</v>
      </c>
      <c r="L12" s="2"/>
    </row>
    <row r="13" spans="1:12" x14ac:dyDescent="0.25">
      <c r="A13" s="2" t="s">
        <v>46</v>
      </c>
      <c r="B13" s="2"/>
      <c r="C13" s="43">
        <f>C12/K12</f>
        <v>0.94873127969614257</v>
      </c>
      <c r="D13" s="2"/>
      <c r="E13" s="2" t="s">
        <v>47</v>
      </c>
      <c r="F13" s="2"/>
      <c r="G13" s="44">
        <f>G12/K12</f>
        <v>5.1268720303857436E-2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5">
        <f>D7+D8*(D9)</f>
        <v>8.3799999999999999E-2</v>
      </c>
      <c r="D14" s="2"/>
      <c r="E14" s="2" t="s">
        <v>49</v>
      </c>
      <c r="F14" s="2"/>
      <c r="G14" s="44">
        <v>0.05</v>
      </c>
      <c r="H14" s="2"/>
      <c r="I14" s="46" t="s">
        <v>1</v>
      </c>
      <c r="J14" s="47"/>
      <c r="K14" s="48">
        <f>C13*C14+G14*G13*(1-D6)</f>
        <v>8.1475732565024633E-2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TSN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2023-08-08T20:26:27Z</dcterms:modified>
</cp:coreProperties>
</file>