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5E840BF6-7BEF-4761-A763-18E96AA6B7A2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TSLA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" l="1"/>
  <c r="C29" i="1"/>
  <c r="D26" i="1"/>
  <c r="E26" i="1"/>
  <c r="F26" i="1"/>
  <c r="G26" i="1"/>
  <c r="H26" i="1"/>
  <c r="D23" i="1"/>
  <c r="E23" i="1"/>
  <c r="F23" i="1"/>
  <c r="G23" i="1"/>
  <c r="H23" i="1"/>
  <c r="D20" i="1"/>
  <c r="E20" i="1"/>
  <c r="F20" i="1"/>
  <c r="G20" i="1"/>
  <c r="H20" i="1"/>
  <c r="D17" i="1"/>
  <c r="E17" i="1"/>
  <c r="F17" i="1"/>
  <c r="G17" i="1"/>
  <c r="H17" i="1"/>
  <c r="D63" i="1"/>
  <c r="C31" i="1"/>
  <c r="C36" i="1"/>
  <c r="C52" i="1"/>
  <c r="C56" i="1"/>
  <c r="C54" i="1"/>
  <c r="D54" i="1"/>
  <c r="E54" i="1"/>
  <c r="F54" i="1"/>
  <c r="G54" i="1"/>
  <c r="E40" i="1"/>
  <c r="C28" i="1"/>
  <c r="D28" i="1"/>
  <c r="E28" i="1"/>
  <c r="F28" i="1"/>
  <c r="G28" i="1"/>
  <c r="C23" i="1"/>
  <c r="H52" i="1"/>
  <c r="H54" i="1"/>
  <c r="H34" i="1"/>
  <c r="F31" i="1"/>
  <c r="G31" i="1"/>
  <c r="H31" i="1"/>
  <c r="H28" i="1"/>
  <c r="I11" i="1"/>
  <c r="I43" i="1" s="1"/>
  <c r="C26" i="1" l="1"/>
  <c r="I25" i="1"/>
  <c r="G12" i="2"/>
  <c r="D66" i="1"/>
  <c r="C12" i="2" s="1"/>
  <c r="C16" i="1"/>
  <c r="D16" i="1"/>
  <c r="E16" i="1"/>
  <c r="D6" i="2"/>
  <c r="L63" i="1"/>
  <c r="L62" i="1" s="1"/>
  <c r="L65" i="1"/>
  <c r="L66" i="1" s="1"/>
  <c r="D31" i="1" l="1"/>
  <c r="D34" i="1" s="1"/>
  <c r="E31" i="1"/>
  <c r="E34" i="1" s="1"/>
  <c r="C34" i="1"/>
  <c r="H29" i="1"/>
  <c r="C20" i="1"/>
  <c r="C14" i="2"/>
  <c r="F47" i="1"/>
  <c r="G47" i="1"/>
  <c r="H47" i="1"/>
  <c r="E47" i="1"/>
  <c r="D47" i="1"/>
  <c r="C47" i="1"/>
  <c r="D44" i="1"/>
  <c r="C44" i="1"/>
  <c r="F44" i="1"/>
  <c r="H44" i="1"/>
  <c r="F29" i="1"/>
  <c r="D29" i="1"/>
  <c r="G50" i="1"/>
  <c r="H50" i="1"/>
  <c r="G44" i="1"/>
  <c r="G16" i="1"/>
  <c r="G34" i="1" s="1"/>
  <c r="F16" i="1"/>
  <c r="F34" i="1" s="1"/>
  <c r="H16" i="1"/>
  <c r="E50" i="1"/>
  <c r="D50" i="1"/>
  <c r="C50" i="1"/>
  <c r="E44" i="1"/>
  <c r="D42" i="1"/>
  <c r="E42" i="1" s="1"/>
  <c r="H12" i="1"/>
  <c r="G12" i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H36" i="1" l="1"/>
  <c r="H56" i="1" s="1"/>
  <c r="G36" i="1"/>
  <c r="G52" i="1" s="1"/>
  <c r="G56" i="1" s="1"/>
  <c r="C17" i="1"/>
  <c r="F50" i="1"/>
  <c r="K12" i="2"/>
  <c r="E29" i="1"/>
  <c r="G29" i="1"/>
  <c r="F36" i="1" l="1"/>
  <c r="F52" i="1" s="1"/>
  <c r="F56" i="1" s="1"/>
  <c r="D36" i="1"/>
  <c r="C13" i="2"/>
  <c r="G13" i="2"/>
  <c r="E36" i="1"/>
  <c r="C40" i="1"/>
  <c r="F40" i="1" l="1"/>
  <c r="H40" i="1"/>
  <c r="D52" i="1"/>
  <c r="D56" i="1" s="1"/>
  <c r="D40" i="1"/>
  <c r="G40" i="1"/>
  <c r="D37" i="1"/>
  <c r="E52" i="1"/>
  <c r="E56" i="1" s="1"/>
  <c r="F37" i="1"/>
  <c r="H37" i="1"/>
  <c r="K14" i="2"/>
  <c r="E5" i="1" s="1"/>
  <c r="C37" i="1"/>
  <c r="E37" i="1"/>
  <c r="I46" i="1" l="1"/>
  <c r="I49" i="1"/>
  <c r="I19" i="1"/>
  <c r="J11" i="1"/>
  <c r="I22" i="1"/>
  <c r="I16" i="1"/>
  <c r="J25" i="1" l="1"/>
  <c r="I28" i="1"/>
  <c r="I31" i="1" s="1"/>
  <c r="I34" i="1" s="1"/>
  <c r="J19" i="1"/>
  <c r="J49" i="1"/>
  <c r="J46" i="1"/>
  <c r="J16" i="1"/>
  <c r="J43" i="1"/>
  <c r="J22" i="1"/>
  <c r="K11" i="1"/>
  <c r="I14" i="1"/>
  <c r="J14" i="1" l="1"/>
  <c r="I36" i="1"/>
  <c r="I37" i="1" s="1"/>
  <c r="K25" i="1"/>
  <c r="J28" i="1"/>
  <c r="J31" i="1" s="1"/>
  <c r="J34" i="1" s="1"/>
  <c r="I29" i="1"/>
  <c r="J29" i="1"/>
  <c r="K19" i="1"/>
  <c r="K16" i="1"/>
  <c r="K46" i="1"/>
  <c r="K49" i="1"/>
  <c r="L11" i="1"/>
  <c r="K22" i="1"/>
  <c r="K43" i="1"/>
  <c r="L25" i="1" l="1"/>
  <c r="J36" i="1"/>
  <c r="K28" i="1"/>
  <c r="K31" i="1" s="1"/>
  <c r="K34" i="1" s="1"/>
  <c r="L19" i="1"/>
  <c r="L22" i="1"/>
  <c r="L49" i="1"/>
  <c r="L43" i="1"/>
  <c r="L46" i="1"/>
  <c r="L16" i="1"/>
  <c r="M11" i="1"/>
  <c r="K14" i="1"/>
  <c r="K29" i="1" l="1"/>
  <c r="M25" i="1"/>
  <c r="K36" i="1"/>
  <c r="L28" i="1"/>
  <c r="L31" i="1" s="1"/>
  <c r="L34" i="1" s="1"/>
  <c r="I39" i="1"/>
  <c r="I54" i="1" s="1"/>
  <c r="M49" i="1"/>
  <c r="M19" i="1"/>
  <c r="M43" i="1"/>
  <c r="M22" i="1"/>
  <c r="N11" i="1"/>
  <c r="M46" i="1"/>
  <c r="M16" i="1"/>
  <c r="L14" i="1"/>
  <c r="L29" i="1"/>
  <c r="N25" i="1" l="1"/>
  <c r="L36" i="1"/>
  <c r="M28" i="1"/>
  <c r="M31" i="1" s="1"/>
  <c r="M34" i="1" s="1"/>
  <c r="I52" i="1"/>
  <c r="I56" i="1" s="1"/>
  <c r="I57" i="1" s="1"/>
  <c r="J39" i="1"/>
  <c r="J54" i="1" s="1"/>
  <c r="J37" i="1"/>
  <c r="N19" i="1"/>
  <c r="N46" i="1"/>
  <c r="N22" i="1"/>
  <c r="N16" i="1"/>
  <c r="N43" i="1"/>
  <c r="N49" i="1"/>
  <c r="O11" i="1"/>
  <c r="M14" i="1"/>
  <c r="N14" i="1" l="1"/>
  <c r="O25" i="1"/>
  <c r="M36" i="1"/>
  <c r="N28" i="1"/>
  <c r="M29" i="1"/>
  <c r="J52" i="1"/>
  <c r="J56" i="1" s="1"/>
  <c r="J57" i="1" s="1"/>
  <c r="K37" i="1"/>
  <c r="K39" i="1"/>
  <c r="K54" i="1" s="1"/>
  <c r="O19" i="1"/>
  <c r="O22" i="1"/>
  <c r="O43" i="1"/>
  <c r="O16" i="1"/>
  <c r="P11" i="1"/>
  <c r="O46" i="1"/>
  <c r="O49" i="1"/>
  <c r="N29" i="1" l="1"/>
  <c r="N31" i="1"/>
  <c r="N34" i="1" s="1"/>
  <c r="P25" i="1"/>
  <c r="O28" i="1"/>
  <c r="O31" i="1" s="1"/>
  <c r="O34" i="1" s="1"/>
  <c r="K52" i="1"/>
  <c r="K56" i="1" s="1"/>
  <c r="K57" i="1" s="1"/>
  <c r="L37" i="1"/>
  <c r="L39" i="1"/>
  <c r="L54" i="1" s="1"/>
  <c r="M37" i="1"/>
  <c r="M39" i="1"/>
  <c r="M54" i="1" s="1"/>
  <c r="O14" i="1"/>
  <c r="P19" i="1"/>
  <c r="P49" i="1"/>
  <c r="P43" i="1"/>
  <c r="P22" i="1"/>
  <c r="P46" i="1"/>
  <c r="Q11" i="1"/>
  <c r="P16" i="1"/>
  <c r="N36" i="1" l="1"/>
  <c r="O36" i="1"/>
  <c r="Q25" i="1"/>
  <c r="O29" i="1"/>
  <c r="P28" i="1"/>
  <c r="M52" i="1"/>
  <c r="M56" i="1" s="1"/>
  <c r="M57" i="1" s="1"/>
  <c r="P14" i="1"/>
  <c r="L52" i="1"/>
  <c r="L56" i="1" s="1"/>
  <c r="L57" i="1" s="1"/>
  <c r="Q19" i="1"/>
  <c r="Q43" i="1"/>
  <c r="R11" i="1"/>
  <c r="Q49" i="1"/>
  <c r="Q46" i="1"/>
  <c r="Q22" i="1"/>
  <c r="Q16" i="1"/>
  <c r="P29" i="1" l="1"/>
  <c r="P31" i="1"/>
  <c r="P34" i="1" s="1"/>
  <c r="R25" i="1"/>
  <c r="Q28" i="1"/>
  <c r="Q14" i="1"/>
  <c r="N37" i="1"/>
  <c r="N39" i="1"/>
  <c r="N54" i="1" s="1"/>
  <c r="R46" i="1"/>
  <c r="R49" i="1"/>
  <c r="R19" i="1"/>
  <c r="R43" i="1"/>
  <c r="R22" i="1"/>
  <c r="R16" i="1"/>
  <c r="O39" i="1"/>
  <c r="O54" i="1" s="1"/>
  <c r="O37" i="1"/>
  <c r="Q29" i="1" l="1"/>
  <c r="Q31" i="1"/>
  <c r="Q34" i="1" s="1"/>
  <c r="P36" i="1"/>
  <c r="Q36" i="1"/>
  <c r="R28" i="1"/>
  <c r="R14" i="1"/>
  <c r="O52" i="1"/>
  <c r="O56" i="1" s="1"/>
  <c r="O57" i="1" s="1"/>
  <c r="N52" i="1"/>
  <c r="N56" i="1" s="1"/>
  <c r="N57" i="1" s="1"/>
  <c r="R29" i="1" l="1"/>
  <c r="R31" i="1"/>
  <c r="R34" i="1" s="1"/>
  <c r="P37" i="1"/>
  <c r="P39" i="1"/>
  <c r="P54" i="1" s="1"/>
  <c r="Q37" i="1"/>
  <c r="Q39" i="1"/>
  <c r="Q54" i="1" s="1"/>
  <c r="R36" i="1" l="1"/>
  <c r="R39" i="1" s="1"/>
  <c r="Q52" i="1"/>
  <c r="Q56" i="1" s="1"/>
  <c r="Q57" i="1" s="1"/>
  <c r="P52" i="1"/>
  <c r="P56" i="1" s="1"/>
  <c r="P57" i="1" s="1"/>
  <c r="R52" i="1" l="1"/>
  <c r="R56" i="1" s="1"/>
  <c r="C59" i="1" s="1"/>
  <c r="C60" i="1" s="1"/>
  <c r="R54" i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BJ54" i="1" s="1"/>
  <c r="BK54" i="1" s="1"/>
  <c r="BL54" i="1" s="1"/>
  <c r="BM54" i="1" s="1"/>
  <c r="BN54" i="1" s="1"/>
  <c r="BO54" i="1" s="1"/>
  <c r="BP54" i="1" s="1"/>
  <c r="BQ54" i="1" s="1"/>
  <c r="BR54" i="1" s="1"/>
  <c r="BS54" i="1" s="1"/>
  <c r="BT54" i="1" s="1"/>
  <c r="BU54" i="1" s="1"/>
  <c r="BV54" i="1" s="1"/>
  <c r="BW54" i="1" s="1"/>
  <c r="BX54" i="1" s="1"/>
  <c r="BY54" i="1" s="1"/>
  <c r="BZ54" i="1" s="1"/>
  <c r="CA54" i="1" s="1"/>
  <c r="CB54" i="1" s="1"/>
  <c r="CC54" i="1" s="1"/>
  <c r="CD54" i="1" s="1"/>
  <c r="CE54" i="1" s="1"/>
  <c r="CF54" i="1" s="1"/>
  <c r="CG54" i="1" s="1"/>
  <c r="CH54" i="1" s="1"/>
  <c r="R37" i="1"/>
  <c r="R57" i="1"/>
  <c r="F59" i="1" l="1"/>
  <c r="H62" i="1" s="1"/>
  <c r="H64" i="1" s="1"/>
  <c r="H67" i="1" s="1"/>
  <c r="G62" i="1"/>
  <c r="G64" i="1" s="1"/>
  <c r="G67" i="1" s="1"/>
  <c r="D67" i="1" l="1"/>
  <c r="L61" i="1" s="1"/>
  <c r="J6" i="1" l="1"/>
  <c r="N5" i="1" s="1"/>
</calcChain>
</file>

<file path=xl/sharedStrings.xml><?xml version="1.0" encoding="utf-8"?>
<sst xmlns="http://schemas.openxmlformats.org/spreadsheetml/2006/main" count="84" uniqueCount="58">
  <si>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</si>
  <si>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</si>
  <si>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</si>
  <si>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</si>
  <si>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</si>
  <si>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</si>
  <si>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</si>
  <si>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</si>
  <si>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</si>
  <si>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</si>
  <si>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</si>
  <si>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</si>
  <si>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</si>
  <si>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</si>
  <si>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</si>
  <si>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</si>
  <si>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</si>
  <si>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</si>
  <si>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</si>
  <si>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</si>
  <si>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</si>
  <si>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</si>
  <si>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</si>
  <si>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</si>
  <si>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</si>
  <si>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</si>
  <si>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</si>
  <si>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</si>
  <si>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</si>
  <si>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</si>
  <si>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</si>
  <si>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</si>
  <si>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</si>
  <si>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</si>
  <si>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</si>
  <si>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</si>
  <si>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</si>
  <si>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</si>
  <si>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</si>
  <si>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</si>
  <si>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</si>
  <si>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</si>
  <si>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</si>
  <si>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</si>
  <si>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</si>
  <si>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</si>
  <si>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</si>
  <si>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</si>
  <si>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</si>
  <si>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</si>
  <si>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</si>
  <si>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</si>
  <si>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</si>
  <si>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Other</t>
  </si>
  <si>
    <t>SG&amp;A</t>
  </si>
  <si>
    <t>NCI</t>
  </si>
  <si>
    <t>Tesla Inc. DCF</t>
  </si>
  <si>
    <t>Last update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</si>
</sst>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0" fontId="6" fillId="4" borderId="4" xfId="0" applyFont="1" applyFill="1" applyBorder="1"/>
    <xf numFmtId="1" fontId="3" fillId="2" borderId="12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0" fontId="3" fillId="2" borderId="0" xfId="1" applyNumberFormat="1" applyFont="1" applyFill="1"/>
    <xf numFmtId="10" fontId="3" fillId="2" borderId="4" xfId="0" applyNumberFormat="1" applyFont="1" applyFill="1" applyBorder="1"/>
    <xf numFmtId="0" fontId="3" fillId="12" borderId="0" xfId="0" applyFont="1" applyFill="1"/>
    <xf numFmtId="10" fontId="7" fillId="12" borderId="0" xfId="1" applyNumberFormat="1" applyFont="1" applyFill="1"/>
    <xf numFmtId="3" fontId="0" fillId="2" borderId="1" xfId="0" applyNumberFormat="1" applyFill="1" applyBorder="1"/>
    <xf numFmtId="0" fontId="0" fillId="2" borderId="4" xfId="0" applyNumberFormat="1" applyFill="1" applyBorder="1"/>
    <xf numFmtId="164" fontId="3" fillId="2" borderId="0" xfId="0" applyNumberFormat="1" applyFont="1" applyFill="1" applyBorder="1" applyAlignment="1">
      <alignment horizontal="center"/>
    </xf>
    <xf numFmtId="14" fontId="3" fillId="2" borderId="0" xfId="0" applyNumberFormat="1" applyFont="1" applyFill="1" applyAlignment="1">
      <alignment horizontal="left"/>
    </xf>
    <xf numFmtId="1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3" fontId="3" fillId="2" borderId="0" xfId="0" applyNumberFormat="1" applyFont="1" applyFill="1" applyBorder="1"/>
    <xf numFmtId="10" fontId="3" fillId="2" borderId="0" xfId="0" applyNumberFormat="1" applyFont="1" applyFill="1" applyBorder="1"/>
    <xf numFmtId="1" fontId="3" fillId="2" borderId="0" xfId="1" applyNumberFormat="1" applyFont="1" applyFill="1" applyBorder="1"/>
    <xf numFmtId="0" fontId="0" fillId="2" borderId="0" xfId="0" applyNumberFormat="1" applyFill="1" applyBorder="1"/>
    <xf numFmtId="0" fontId="6" fillId="3" borderId="0" xfId="0" applyFont="1" applyFill="1" applyBorder="1"/>
    <xf numFmtId="1" fontId="3" fillId="2" borderId="4" xfId="1" applyNumberFormat="1" applyFont="1" applyFill="1" applyBorder="1"/>
    <xf numFmtId="164" fontId="3" fillId="2" borderId="0" xfId="1" applyNumberFormat="1" applyFont="1" applyFill="1"/>
    <xf numFmtId="164" fontId="8" fillId="8" borderId="4" xfId="0" applyNumberFormat="1" applyFont="1" applyFill="1" applyBorder="1"/>
    <xf numFmtId="164" fontId="8" fillId="8" borderId="0" xfId="0" applyNumberFormat="1" applyFont="1" applyFill="1" applyBorder="1"/>
    <xf numFmtId="164" fontId="8" fillId="8" borderId="4" xfId="1" applyNumberFormat="1" applyFont="1" applyFill="1" applyBorder="1"/>
    <xf numFmtId="164" fontId="8" fillId="8" borderId="0" xfId="1" applyNumberFormat="1" applyFont="1" applyFill="1" applyBorder="1"/>
    <xf numFmtId="164" fontId="9" fillId="8" borderId="4" xfId="1" applyNumberFormat="1" applyFont="1" applyFill="1" applyBorder="1"/>
    <xf numFmtId="164" fontId="9" fillId="8" borderId="0" xfId="1" applyNumberFormat="1" applyFont="1" applyFill="1" applyBorder="1"/>
    <xf numFmtId="10" fontId="9" fillId="8" borderId="4" xfId="0" applyNumberFormat="1" applyFont="1" applyFill="1" applyBorder="1"/>
    <xf numFmtId="10" fontId="9" fillId="8" borderId="0" xfId="0" applyNumberFormat="1" applyFont="1" applyFill="1" applyBorder="1"/>
    <xf numFmtId="10" fontId="8" fillId="8" borderId="4" xfId="0" applyNumberFormat="1" applyFont="1" applyFill="1" applyBorder="1"/>
    <xf numFmtId="10" fontId="8" fillId="8" borderId="0" xfId="0" applyNumberFormat="1" applyFont="1" applyFill="1" applyBorder="1"/>
    <xf numFmtId="164" fontId="7" fillId="8" borderId="4" xfId="1" applyNumberFormat="1" applyFont="1" applyFill="1" applyBorder="1"/>
    <xf numFmtId="164" fontId="7" fillId="8" borderId="0" xfId="1" applyNumberFormat="1" applyFont="1" applyFill="1" applyBorder="1"/>
    <xf numFmtId="164" fontId="3" fillId="8" borderId="4" xfId="0" applyNumberFormat="1" applyFont="1" applyFill="1" applyBorder="1"/>
    <xf numFmtId="164" fontId="3" fillId="8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CCECFF"/>
      <color rgb="FFCCFF99"/>
      <color rgb="FF99FF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68"/>
  <sheetViews>
    <sheetView tabSelected="1" topLeftCell="A46" workbookViewId="0">
      <selection activeCell="J59" sqref="J59"/>
    </sheetView>
  </sheetViews>
  <sheetFormatPr defaultRowHeight="15" x14ac:dyDescent="0.25"/>
  <cols>
    <col min="1" max="1" width="7.7109375" style="2" customWidth="1"/>
    <col min="2" max="2" width="20.140625" style="2" customWidth="1"/>
    <col min="3" max="3" width="11" style="2" customWidth="1"/>
    <col min="4" max="6" width="9.140625" style="2"/>
    <col min="7" max="7" width="11.5703125" style="2" customWidth="1"/>
    <col min="8" max="8" width="11.28515625" style="2" customWidth="1"/>
    <col min="9" max="15" width="12.5703125" style="2" bestFit="1" customWidth="1"/>
    <col min="16" max="16" width="10.7109375" style="2" customWidth="1"/>
    <col min="17" max="18" width="12.5703125" style="2" bestFit="1" customWidth="1"/>
    <col min="19" max="16384" width="9.140625" style="51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9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0">
        <f>WACC!K14</f>
        <v>0.11827998536469045</v>
      </c>
      <c r="G5" s="1"/>
      <c r="H5" s="1" t="s">
        <v>2</v>
      </c>
      <c r="I5" s="1"/>
      <c r="J5" s="7">
        <v>167.54</v>
      </c>
      <c r="K5" s="1"/>
      <c r="L5" s="1" t="s">
        <v>3</v>
      </c>
      <c r="M5" s="1"/>
      <c r="N5" s="69">
        <f>(J6/J5)-1</f>
        <v>-0.18026995678353996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0">
        <v>0.03</v>
      </c>
      <c r="G6" s="1"/>
      <c r="H6" s="1" t="s">
        <v>5</v>
      </c>
      <c r="I6" s="1"/>
      <c r="J6" s="7">
        <f>D67</f>
        <v>137.3375714404857</v>
      </c>
      <c r="K6" s="1"/>
      <c r="L6" s="1" t="s">
        <v>57</v>
      </c>
      <c r="M6" s="1"/>
      <c r="N6" s="81">
        <v>45057</v>
      </c>
      <c r="O6" s="1"/>
      <c r="P6" s="1"/>
      <c r="Q6" s="1"/>
    </row>
    <row r="7" spans="1:86" x14ac:dyDescent="0.25">
      <c r="B7" s="68"/>
      <c r="C7" s="1"/>
      <c r="D7" s="1"/>
      <c r="E7" s="8"/>
      <c r="F7" s="1"/>
      <c r="G7" s="1"/>
      <c r="H7" s="1"/>
      <c r="I7" s="1"/>
      <c r="J7" s="1"/>
      <c r="K7" s="1"/>
      <c r="L7" s="57"/>
      <c r="M7" s="1"/>
      <c r="N7" s="1"/>
      <c r="O7" s="1"/>
      <c r="P7" s="1"/>
      <c r="Q7" s="1"/>
    </row>
    <row r="8" spans="1:86" x14ac:dyDescent="0.25">
      <c r="A8" s="1"/>
      <c r="B8" s="11"/>
      <c r="C8" s="1"/>
      <c r="D8" s="1"/>
      <c r="E8" s="37"/>
      <c r="F8" s="1"/>
      <c r="G8" s="1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9" t="s">
        <v>6</v>
      </c>
      <c r="C10" s="9">
        <v>2017</v>
      </c>
      <c r="D10" s="9">
        <v>2018</v>
      </c>
      <c r="E10" s="10">
        <v>2019</v>
      </c>
      <c r="F10" s="9">
        <v>2020</v>
      </c>
      <c r="G10" s="9">
        <v>2021</v>
      </c>
      <c r="H10" s="9">
        <v>2022</v>
      </c>
      <c r="I10" s="64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  <c r="S10" s="9">
        <v>2033</v>
      </c>
      <c r="T10" s="9">
        <v>2034</v>
      </c>
      <c r="U10" s="9">
        <v>2035</v>
      </c>
      <c r="V10" s="9">
        <v>2036</v>
      </c>
      <c r="W10" s="9">
        <v>2037</v>
      </c>
      <c r="X10" s="9">
        <v>2038</v>
      </c>
      <c r="Y10" s="9">
        <v>2039</v>
      </c>
      <c r="Z10" s="9">
        <v>2040</v>
      </c>
      <c r="AA10" s="9">
        <v>2041</v>
      </c>
      <c r="AB10" s="9">
        <v>2042</v>
      </c>
      <c r="AC10" s="9">
        <v>2043</v>
      </c>
      <c r="AD10" s="9">
        <v>2044</v>
      </c>
      <c r="AE10" s="9">
        <v>2045</v>
      </c>
      <c r="AF10" s="9">
        <v>2046</v>
      </c>
      <c r="AG10" s="9">
        <v>2047</v>
      </c>
      <c r="AH10" s="9">
        <v>2048</v>
      </c>
      <c r="AI10" s="9">
        <v>2049</v>
      </c>
      <c r="AJ10" s="9">
        <v>2050</v>
      </c>
      <c r="AK10" s="9">
        <v>2051</v>
      </c>
      <c r="AL10" s="9">
        <v>2052</v>
      </c>
      <c r="AM10" s="9">
        <v>2053</v>
      </c>
      <c r="AN10" s="9">
        <v>2054</v>
      </c>
      <c r="AO10" s="9">
        <v>2055</v>
      </c>
      <c r="AP10" s="9">
        <v>2056</v>
      </c>
      <c r="AQ10" s="9">
        <v>2057</v>
      </c>
      <c r="AR10" s="9">
        <v>2058</v>
      </c>
      <c r="AS10" s="9">
        <v>2059</v>
      </c>
      <c r="AT10" s="9">
        <v>2060</v>
      </c>
      <c r="AU10" s="9">
        <v>2061</v>
      </c>
      <c r="AV10" s="9">
        <v>2062</v>
      </c>
      <c r="AW10" s="9">
        <v>2063</v>
      </c>
      <c r="AX10" s="9">
        <v>2064</v>
      </c>
      <c r="AY10" s="9">
        <v>2065</v>
      </c>
      <c r="AZ10" s="9">
        <v>2066</v>
      </c>
      <c r="BA10" s="9">
        <v>2067</v>
      </c>
      <c r="BB10" s="9">
        <v>2068</v>
      </c>
      <c r="BC10" s="9">
        <v>2069</v>
      </c>
      <c r="BD10" s="9">
        <v>2070</v>
      </c>
      <c r="BE10" s="9">
        <v>2071</v>
      </c>
      <c r="BF10" s="9">
        <v>2072</v>
      </c>
      <c r="BG10" s="9">
        <v>2073</v>
      </c>
      <c r="BH10" s="9">
        <v>2074</v>
      </c>
      <c r="BI10" s="9">
        <v>2075</v>
      </c>
      <c r="BJ10" s="9">
        <v>2076</v>
      </c>
      <c r="BK10" s="9">
        <v>2077</v>
      </c>
      <c r="BL10" s="9">
        <v>2078</v>
      </c>
      <c r="BM10" s="9">
        <v>2079</v>
      </c>
      <c r="BN10" s="9">
        <v>2080</v>
      </c>
      <c r="BO10" s="9">
        <v>2081</v>
      </c>
      <c r="BP10" s="9">
        <v>2082</v>
      </c>
      <c r="BQ10" s="9">
        <v>2083</v>
      </c>
      <c r="BR10" s="9">
        <v>2084</v>
      </c>
      <c r="BS10" s="9">
        <v>2085</v>
      </c>
      <c r="BT10" s="9">
        <v>2086</v>
      </c>
      <c r="BU10" s="9">
        <v>2087</v>
      </c>
      <c r="BV10" s="9">
        <v>2088</v>
      </c>
      <c r="BW10" s="9">
        <v>2089</v>
      </c>
      <c r="BX10" s="9">
        <v>2090</v>
      </c>
      <c r="BY10" s="9">
        <v>2091</v>
      </c>
      <c r="BZ10" s="9">
        <v>2092</v>
      </c>
      <c r="CA10" s="9">
        <v>2093</v>
      </c>
      <c r="CB10" s="9">
        <v>2094</v>
      </c>
      <c r="CC10" s="9">
        <v>2095</v>
      </c>
      <c r="CD10" s="9">
        <v>2096</v>
      </c>
      <c r="CE10" s="9">
        <v>2097</v>
      </c>
      <c r="CF10" s="9">
        <v>2098</v>
      </c>
      <c r="CG10" s="9">
        <v>2099</v>
      </c>
      <c r="CH10" s="9">
        <v>2100</v>
      </c>
    </row>
    <row r="11" spans="1:86" x14ac:dyDescent="0.25">
      <c r="A11" s="1"/>
      <c r="B11" s="1" t="s">
        <v>7</v>
      </c>
      <c r="C11" s="11">
        <v>11759</v>
      </c>
      <c r="D11" s="11">
        <v>21461</v>
      </c>
      <c r="E11" s="11">
        <v>24578</v>
      </c>
      <c r="F11" s="11">
        <v>31536</v>
      </c>
      <c r="G11" s="11">
        <v>53823</v>
      </c>
      <c r="H11" s="11">
        <v>81462</v>
      </c>
      <c r="I11" s="20">
        <f>H11*(1+I12)</f>
        <v>100198.26</v>
      </c>
      <c r="J11" s="82">
        <f>I11*(1+J12)</f>
        <v>129556.35017999998</v>
      </c>
      <c r="K11" s="82">
        <f t="shared" ref="K11:R11" si="1">J11*(1+K12)</f>
        <v>160520.31787301996</v>
      </c>
      <c r="L11" s="82">
        <f t="shared" si="1"/>
        <v>192704.64160656044</v>
      </c>
      <c r="M11" s="82">
        <f t="shared" si="1"/>
        <v>231341.92224867578</v>
      </c>
      <c r="N11" s="82">
        <f t="shared" si="1"/>
        <v>272289.44248669141</v>
      </c>
      <c r="O11" s="82">
        <f t="shared" si="1"/>
        <v>308776.22777990805</v>
      </c>
      <c r="P11" s="82">
        <f t="shared" si="1"/>
        <v>355092.66194689425</v>
      </c>
      <c r="Q11" s="82">
        <f t="shared" si="1"/>
        <v>408356.56123892835</v>
      </c>
      <c r="R11" s="82">
        <f t="shared" si="1"/>
        <v>469610.04542476754</v>
      </c>
    </row>
    <row r="12" spans="1:86" x14ac:dyDescent="0.25">
      <c r="A12" s="1"/>
      <c r="B12" s="71" t="s">
        <v>8</v>
      </c>
      <c r="C12" s="72"/>
      <c r="D12" s="72">
        <f>(D11/C11)-1</f>
        <v>0.8250701590271281</v>
      </c>
      <c r="E12" s="72">
        <f t="shared" ref="E12:H12" si="2">(E11/D11)-1</f>
        <v>0.14524020315921904</v>
      </c>
      <c r="F12" s="72">
        <f t="shared" si="2"/>
        <v>0.28309870615998056</v>
      </c>
      <c r="G12" s="72">
        <f t="shared" si="2"/>
        <v>0.70671613394216126</v>
      </c>
      <c r="H12" s="72">
        <f t="shared" si="2"/>
        <v>0.51351652639206291</v>
      </c>
      <c r="I12" s="94">
        <v>0.23</v>
      </c>
      <c r="J12" s="95">
        <v>0.29299999999999998</v>
      </c>
      <c r="K12" s="95">
        <v>0.23899999999999999</v>
      </c>
      <c r="L12" s="95">
        <v>0.20050000000000001</v>
      </c>
      <c r="M12" s="95">
        <v>0.20050000000000001</v>
      </c>
      <c r="N12" s="95">
        <v>0.17699999999999999</v>
      </c>
      <c r="O12" s="95">
        <v>0.13400000000000001</v>
      </c>
      <c r="P12" s="95">
        <v>0.15</v>
      </c>
      <c r="Q12" s="95">
        <v>0.15</v>
      </c>
      <c r="R12" s="95">
        <v>0.15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12"/>
      <c r="J13" s="83"/>
      <c r="K13" s="83"/>
      <c r="L13" s="83"/>
      <c r="M13" s="83"/>
      <c r="N13" s="83"/>
      <c r="O13" s="83"/>
      <c r="P13" s="83"/>
      <c r="Q13" s="83"/>
      <c r="R13" s="84"/>
    </row>
    <row r="14" spans="1:86" x14ac:dyDescent="0.25">
      <c r="A14" s="1"/>
      <c r="B14" s="1" t="s">
        <v>9</v>
      </c>
      <c r="C14" s="11">
        <v>9536</v>
      </c>
      <c r="D14" s="11">
        <v>17419</v>
      </c>
      <c r="E14" s="11">
        <v>20509</v>
      </c>
      <c r="F14" s="11">
        <v>24906</v>
      </c>
      <c r="G14" s="11">
        <v>40217</v>
      </c>
      <c r="H14" s="35">
        <v>60609</v>
      </c>
      <c r="I14" s="65">
        <f>I11-I16</f>
        <v>80930.134601999991</v>
      </c>
      <c r="J14" s="63">
        <f t="shared" ref="J14:K14" si="3">J11-J16</f>
        <v>100859.61861512999</v>
      </c>
      <c r="K14" s="63">
        <f t="shared" si="3"/>
        <v>123279.60412647933</v>
      </c>
      <c r="L14" s="63">
        <f t="shared" ref="L14:R14" si="4">L11-L16</f>
        <v>148710.17192778271</v>
      </c>
      <c r="M14" s="63">
        <f t="shared" si="4"/>
        <v>177323.58340360998</v>
      </c>
      <c r="N14" s="63">
        <f t="shared" si="4"/>
        <v>203672.50298004516</v>
      </c>
      <c r="O14" s="63">
        <f t="shared" si="4"/>
        <v>230655.84215159132</v>
      </c>
      <c r="P14" s="63">
        <f t="shared" si="4"/>
        <v>263727.32002795837</v>
      </c>
      <c r="Q14" s="63">
        <f t="shared" si="4"/>
        <v>294425.08065326733</v>
      </c>
      <c r="R14" s="63">
        <f t="shared" si="4"/>
        <v>338588.84275125735</v>
      </c>
    </row>
    <row r="15" spans="1:86" x14ac:dyDescent="0.25">
      <c r="A15" s="1"/>
      <c r="B15" s="17"/>
      <c r="C15" s="17"/>
      <c r="D15" s="17"/>
      <c r="E15" s="17"/>
      <c r="F15" s="17"/>
      <c r="G15" s="17"/>
      <c r="H15" s="17"/>
      <c r="I15" s="12"/>
      <c r="J15" s="83"/>
      <c r="K15" s="83"/>
      <c r="L15" s="83"/>
      <c r="M15" s="83"/>
      <c r="N15" s="83"/>
      <c r="O15" s="83"/>
      <c r="P15" s="83"/>
      <c r="Q15" s="83"/>
      <c r="R15" s="84"/>
    </row>
    <row r="16" spans="1:86" x14ac:dyDescent="0.25">
      <c r="A16" s="1"/>
      <c r="B16" s="1" t="s">
        <v>10</v>
      </c>
      <c r="C16" s="11">
        <f t="shared" ref="C16:E16" si="5">C11-C14</f>
        <v>2223</v>
      </c>
      <c r="D16" s="11">
        <f t="shared" si="5"/>
        <v>4042</v>
      </c>
      <c r="E16" s="11">
        <f t="shared" si="5"/>
        <v>4069</v>
      </c>
      <c r="F16" s="11">
        <f t="shared" ref="F16" si="6">F11-F14</f>
        <v>6630</v>
      </c>
      <c r="G16" s="11">
        <f>G11-G14</f>
        <v>13606</v>
      </c>
      <c r="H16" s="11">
        <f>H11-H14</f>
        <v>20853</v>
      </c>
      <c r="I16" s="20">
        <f>I11*I17</f>
        <v>19268.125398</v>
      </c>
      <c r="J16" s="82">
        <f t="shared" ref="J16:R16" si="7">J11*J17</f>
        <v>28696.731564869995</v>
      </c>
      <c r="K16" s="82">
        <f t="shared" si="7"/>
        <v>37240.713746540634</v>
      </c>
      <c r="L16" s="82">
        <f t="shared" si="7"/>
        <v>43994.46967877775</v>
      </c>
      <c r="M16" s="82">
        <f t="shared" si="7"/>
        <v>54018.338845065795</v>
      </c>
      <c r="N16" s="82">
        <f t="shared" si="7"/>
        <v>68616.939506646231</v>
      </c>
      <c r="O16" s="82">
        <f t="shared" si="7"/>
        <v>78120.385628316741</v>
      </c>
      <c r="P16" s="82">
        <f t="shared" si="7"/>
        <v>91365.341918935883</v>
      </c>
      <c r="Q16" s="82">
        <f t="shared" si="7"/>
        <v>113931.48058566102</v>
      </c>
      <c r="R16" s="82">
        <f t="shared" si="7"/>
        <v>131021.20267351015</v>
      </c>
    </row>
    <row r="17" spans="1:18" x14ac:dyDescent="0.25">
      <c r="A17" s="1"/>
      <c r="B17" s="71" t="s">
        <v>11</v>
      </c>
      <c r="C17" s="72">
        <f>C16/C11</f>
        <v>0.1890466876435071</v>
      </c>
      <c r="D17" s="72">
        <f t="shared" ref="D17:H17" si="8">D16/D11</f>
        <v>0.18834164298028983</v>
      </c>
      <c r="E17" s="72">
        <f t="shared" si="8"/>
        <v>0.1655545609895028</v>
      </c>
      <c r="F17" s="72">
        <f t="shared" si="8"/>
        <v>0.2102359208523592</v>
      </c>
      <c r="G17" s="72">
        <f t="shared" si="8"/>
        <v>0.25279155751258753</v>
      </c>
      <c r="H17" s="72">
        <f t="shared" si="8"/>
        <v>0.25598438535759005</v>
      </c>
      <c r="I17" s="92">
        <v>0.1923</v>
      </c>
      <c r="J17" s="93">
        <v>0.2215</v>
      </c>
      <c r="K17" s="93">
        <v>0.23200000000000001</v>
      </c>
      <c r="L17" s="93">
        <v>0.2283</v>
      </c>
      <c r="M17" s="93">
        <v>0.23350000000000001</v>
      </c>
      <c r="N17" s="93">
        <v>0.252</v>
      </c>
      <c r="O17" s="93">
        <v>0.253</v>
      </c>
      <c r="P17" s="93">
        <v>0.25729999999999997</v>
      </c>
      <c r="Q17" s="93">
        <v>0.27900000000000003</v>
      </c>
      <c r="R17" s="93">
        <v>0.27900000000000003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2"/>
      <c r="J18" s="83"/>
      <c r="K18" s="83"/>
      <c r="L18" s="83"/>
      <c r="M18" s="83"/>
      <c r="N18" s="83"/>
      <c r="O18" s="83"/>
      <c r="P18" s="83"/>
      <c r="Q18" s="83"/>
      <c r="R18" s="84"/>
    </row>
    <row r="19" spans="1:18" x14ac:dyDescent="0.25">
      <c r="A19" s="1"/>
      <c r="B19" s="1" t="s">
        <v>54</v>
      </c>
      <c r="C19" s="11">
        <v>2477</v>
      </c>
      <c r="D19" s="11">
        <v>2835</v>
      </c>
      <c r="E19" s="11">
        <v>2646</v>
      </c>
      <c r="F19" s="11">
        <v>3145</v>
      </c>
      <c r="G19" s="11">
        <v>4517</v>
      </c>
      <c r="H19" s="11">
        <v>3946</v>
      </c>
      <c r="I19" s="20">
        <f>I20*I11</f>
        <v>4308.5251799999996</v>
      </c>
      <c r="J19" s="82">
        <f t="shared" ref="J19:R19" si="9">J20*J11</f>
        <v>5570.9230577399985</v>
      </c>
      <c r="K19" s="82">
        <f t="shared" si="9"/>
        <v>7223.4143042858977</v>
      </c>
      <c r="L19" s="82">
        <f t="shared" si="9"/>
        <v>8671.7088722952194</v>
      </c>
      <c r="M19" s="82">
        <f t="shared" si="9"/>
        <v>10410.386501190409</v>
      </c>
      <c r="N19" s="82">
        <f t="shared" si="9"/>
        <v>12253.024911901113</v>
      </c>
      <c r="O19" s="82">
        <f t="shared" si="9"/>
        <v>13894.930250095862</v>
      </c>
      <c r="P19" s="82">
        <f t="shared" si="9"/>
        <v>15979.169787610241</v>
      </c>
      <c r="Q19" s="82">
        <f t="shared" si="9"/>
        <v>18376.045255751775</v>
      </c>
      <c r="R19" s="82">
        <f t="shared" si="9"/>
        <v>21132.45204411454</v>
      </c>
    </row>
    <row r="20" spans="1:18" x14ac:dyDescent="0.25">
      <c r="A20" s="1"/>
      <c r="B20" s="71" t="s">
        <v>18</v>
      </c>
      <c r="C20" s="72">
        <f>C19/C11</f>
        <v>0.21064716387447913</v>
      </c>
      <c r="D20" s="72">
        <f t="shared" ref="D20:H20" si="10">D19/D11</f>
        <v>0.1321000885326872</v>
      </c>
      <c r="E20" s="72">
        <f t="shared" si="10"/>
        <v>0.10765725445520384</v>
      </c>
      <c r="F20" s="72">
        <f t="shared" si="10"/>
        <v>9.9727295788939629E-2</v>
      </c>
      <c r="G20" s="72">
        <f t="shared" si="10"/>
        <v>8.3923229845976624E-2</v>
      </c>
      <c r="H20" s="72">
        <f t="shared" si="10"/>
        <v>4.8439763325231394E-2</v>
      </c>
      <c r="I20" s="96">
        <v>4.2999999999999997E-2</v>
      </c>
      <c r="J20" s="97">
        <v>4.2999999999999997E-2</v>
      </c>
      <c r="K20" s="97">
        <v>4.4999999999999998E-2</v>
      </c>
      <c r="L20" s="97">
        <v>4.4999999999999998E-2</v>
      </c>
      <c r="M20" s="97">
        <v>4.4999999999999998E-2</v>
      </c>
      <c r="N20" s="97">
        <v>4.4999999999999998E-2</v>
      </c>
      <c r="O20" s="97">
        <v>4.4999999999999998E-2</v>
      </c>
      <c r="P20" s="97">
        <v>4.4999999999999998E-2</v>
      </c>
      <c r="Q20" s="97">
        <v>4.4999999999999998E-2</v>
      </c>
      <c r="R20" s="97">
        <v>4.4999999999999998E-2</v>
      </c>
    </row>
    <row r="21" spans="1:18" x14ac:dyDescent="0.25">
      <c r="A21" s="1"/>
      <c r="B21" s="13"/>
      <c r="C21" s="91"/>
      <c r="D21" s="91"/>
      <c r="E21" s="91"/>
      <c r="F21" s="91"/>
      <c r="G21" s="91"/>
      <c r="H21" s="91"/>
      <c r="I21" s="20"/>
      <c r="J21" s="82"/>
      <c r="K21" s="82"/>
      <c r="L21" s="82"/>
      <c r="M21" s="82"/>
      <c r="N21" s="82"/>
      <c r="O21" s="82"/>
      <c r="P21" s="82"/>
      <c r="Q21" s="82"/>
      <c r="R21" s="82"/>
    </row>
    <row r="22" spans="1:18" x14ac:dyDescent="0.25">
      <c r="A22" s="1"/>
      <c r="B22" s="1" t="s">
        <v>12</v>
      </c>
      <c r="C22" s="11">
        <v>1378</v>
      </c>
      <c r="D22" s="11">
        <v>1460</v>
      </c>
      <c r="E22" s="11">
        <v>1343</v>
      </c>
      <c r="F22" s="11">
        <v>1491</v>
      </c>
      <c r="G22" s="11">
        <v>2593</v>
      </c>
      <c r="H22" s="11">
        <v>3075</v>
      </c>
      <c r="I22" s="20">
        <f>I23*I11</f>
        <v>3406.7408399999999</v>
      </c>
      <c r="J22" s="82">
        <f t="shared" ref="J22:R22" si="11">J23*J11</f>
        <v>4923.1413068399988</v>
      </c>
      <c r="K22" s="82">
        <f t="shared" si="11"/>
        <v>6741.8533506668391</v>
      </c>
      <c r="L22" s="82">
        <f t="shared" si="11"/>
        <v>8479.0042306886589</v>
      </c>
      <c r="M22" s="82">
        <f t="shared" si="11"/>
        <v>10179.044578941734</v>
      </c>
      <c r="N22" s="82">
        <f t="shared" si="11"/>
        <v>11980.735469414421</v>
      </c>
      <c r="O22" s="82">
        <f t="shared" si="11"/>
        <v>13586.154022315954</v>
      </c>
      <c r="P22" s="82">
        <f t="shared" si="11"/>
        <v>15624.077125663347</v>
      </c>
      <c r="Q22" s="82">
        <f t="shared" si="11"/>
        <v>17967.688694512846</v>
      </c>
      <c r="R22" s="82">
        <f t="shared" si="11"/>
        <v>20662.841998689772</v>
      </c>
    </row>
    <row r="23" spans="1:18" x14ac:dyDescent="0.25">
      <c r="A23" s="1"/>
      <c r="B23" s="71" t="s">
        <v>18</v>
      </c>
      <c r="C23" s="72">
        <f>C22/C11</f>
        <v>0.1171868356152734</v>
      </c>
      <c r="D23" s="72">
        <f t="shared" ref="D23:H23" si="12">D22/D11</f>
        <v>6.8030380690554962E-2</v>
      </c>
      <c r="E23" s="72">
        <f t="shared" si="12"/>
        <v>5.4642363088941333E-2</v>
      </c>
      <c r="F23" s="72">
        <f t="shared" si="12"/>
        <v>4.7279299847792999E-2</v>
      </c>
      <c r="G23" s="72">
        <f t="shared" si="12"/>
        <v>4.817643015067908E-2</v>
      </c>
      <c r="H23" s="72">
        <f t="shared" si="12"/>
        <v>3.7747661486337188E-2</v>
      </c>
      <c r="I23" s="96">
        <v>3.4000000000000002E-2</v>
      </c>
      <c r="J23" s="97">
        <v>3.7999999999999999E-2</v>
      </c>
      <c r="K23" s="97">
        <v>4.2000000000000003E-2</v>
      </c>
      <c r="L23" s="97">
        <v>4.3999999999999997E-2</v>
      </c>
      <c r="M23" s="97">
        <v>4.3999999999999997E-2</v>
      </c>
      <c r="N23" s="97">
        <v>4.3999999999999997E-2</v>
      </c>
      <c r="O23" s="97">
        <v>4.3999999999999997E-2</v>
      </c>
      <c r="P23" s="97">
        <v>4.3999999999999997E-2</v>
      </c>
      <c r="Q23" s="97">
        <v>4.3999999999999997E-2</v>
      </c>
      <c r="R23" s="97">
        <v>4.3999999999999997E-2</v>
      </c>
    </row>
    <row r="24" spans="1:18" x14ac:dyDescent="0.25">
      <c r="A24" s="1"/>
      <c r="B24" s="13"/>
      <c r="C24" s="11"/>
      <c r="D24" s="11"/>
      <c r="E24" s="11"/>
      <c r="F24" s="11"/>
      <c r="G24" s="11"/>
      <c r="H24" s="11"/>
      <c r="I24" s="66"/>
      <c r="J24" s="85"/>
      <c r="K24" s="85"/>
      <c r="L24" s="85"/>
      <c r="M24" s="85"/>
      <c r="N24" s="85"/>
      <c r="O24" s="85"/>
      <c r="P24" s="85"/>
      <c r="Q24" s="85"/>
      <c r="R24" s="85"/>
    </row>
    <row r="25" spans="1:18" x14ac:dyDescent="0.25">
      <c r="A25" s="1"/>
      <c r="B25" s="1" t="s">
        <v>53</v>
      </c>
      <c r="C25" s="11">
        <v>0</v>
      </c>
      <c r="D25" s="11">
        <v>135</v>
      </c>
      <c r="E25" s="11">
        <v>149</v>
      </c>
      <c r="F25" s="11">
        <v>0</v>
      </c>
      <c r="G25" s="11">
        <v>-27</v>
      </c>
      <c r="H25" s="11">
        <v>176</v>
      </c>
      <c r="I25" s="20">
        <f>I26*I11</f>
        <v>50.099129999999995</v>
      </c>
      <c r="J25" s="82">
        <f t="shared" ref="J25:R25" si="13">J26*J11</f>
        <v>64.778175089999991</v>
      </c>
      <c r="K25" s="82">
        <f t="shared" si="13"/>
        <v>80.260158936509981</v>
      </c>
      <c r="L25" s="82">
        <f t="shared" si="13"/>
        <v>96.352320803280222</v>
      </c>
      <c r="M25" s="82">
        <f t="shared" si="13"/>
        <v>115.67096112433789</v>
      </c>
      <c r="N25" s="82">
        <f t="shared" si="13"/>
        <v>136.14472124334571</v>
      </c>
      <c r="O25" s="82">
        <f t="shared" si="13"/>
        <v>154.38811388995401</v>
      </c>
      <c r="P25" s="82">
        <f t="shared" si="13"/>
        <v>177.54633097344714</v>
      </c>
      <c r="Q25" s="82">
        <f t="shared" si="13"/>
        <v>204.17828061946418</v>
      </c>
      <c r="R25" s="82">
        <f t="shared" si="13"/>
        <v>234.80502271238376</v>
      </c>
    </row>
    <row r="26" spans="1:18" x14ac:dyDescent="0.25">
      <c r="A26" s="1"/>
      <c r="B26" s="76" t="s">
        <v>18</v>
      </c>
      <c r="C26" s="77">
        <f>C25/C11</f>
        <v>0</v>
      </c>
      <c r="D26" s="77">
        <f t="shared" ref="D26:H26" si="14">D25/D11</f>
        <v>6.2904804063184383E-3</v>
      </c>
      <c r="E26" s="77">
        <f t="shared" si="14"/>
        <v>6.0623321669785986E-3</v>
      </c>
      <c r="F26" s="77">
        <f t="shared" si="14"/>
        <v>0</v>
      </c>
      <c r="G26" s="77">
        <f t="shared" si="14"/>
        <v>-5.0164427846831284E-4</v>
      </c>
      <c r="H26" s="77">
        <f t="shared" si="14"/>
        <v>2.160516559868405E-3</v>
      </c>
      <c r="I26" s="98">
        <v>5.0000000000000001E-4</v>
      </c>
      <c r="J26" s="99">
        <v>5.0000000000000001E-4</v>
      </c>
      <c r="K26" s="99">
        <v>5.0000000000000001E-4</v>
      </c>
      <c r="L26" s="99">
        <v>5.0000000000000001E-4</v>
      </c>
      <c r="M26" s="99">
        <v>5.0000000000000001E-4</v>
      </c>
      <c r="N26" s="99">
        <v>5.0000000000000001E-4</v>
      </c>
      <c r="O26" s="99">
        <v>5.0000000000000001E-4</v>
      </c>
      <c r="P26" s="99">
        <v>5.0000000000000001E-4</v>
      </c>
      <c r="Q26" s="99">
        <v>5.0000000000000001E-4</v>
      </c>
      <c r="R26" s="99">
        <v>5.0000000000000001E-4</v>
      </c>
    </row>
    <row r="27" spans="1:18" x14ac:dyDescent="0.25">
      <c r="A27" s="1"/>
      <c r="B27" s="1"/>
      <c r="C27" s="21"/>
      <c r="D27" s="21"/>
      <c r="E27" s="21"/>
      <c r="F27" s="21"/>
      <c r="G27" s="21"/>
      <c r="H27" s="21"/>
      <c r="I27" s="75"/>
      <c r="J27" s="86"/>
      <c r="K27" s="86"/>
      <c r="L27" s="86"/>
      <c r="M27" s="86"/>
      <c r="N27" s="86"/>
      <c r="O27" s="86"/>
      <c r="P27" s="86"/>
      <c r="Q27" s="86"/>
      <c r="R27" s="86"/>
    </row>
    <row r="28" spans="1:18" x14ac:dyDescent="0.25">
      <c r="A28" s="1"/>
      <c r="B28" s="1" t="s">
        <v>13</v>
      </c>
      <c r="C28" s="11">
        <f t="shared" ref="C28:G28" si="15">C19+C22+C25</f>
        <v>3855</v>
      </c>
      <c r="D28" s="11">
        <f t="shared" si="15"/>
        <v>4430</v>
      </c>
      <c r="E28" s="11">
        <f t="shared" si="15"/>
        <v>4138</v>
      </c>
      <c r="F28" s="11">
        <f t="shared" si="15"/>
        <v>4636</v>
      </c>
      <c r="G28" s="11">
        <f t="shared" si="15"/>
        <v>7083</v>
      </c>
      <c r="H28" s="11">
        <f>H19+H22+H25</f>
        <v>7197</v>
      </c>
      <c r="I28" s="66">
        <f t="shared" ref="I28:R28" si="16">I19+I22+I25</f>
        <v>7765.3651499999987</v>
      </c>
      <c r="J28" s="85">
        <f t="shared" si="16"/>
        <v>10558.842539669997</v>
      </c>
      <c r="K28" s="85">
        <f t="shared" si="16"/>
        <v>14045.527813889246</v>
      </c>
      <c r="L28" s="85">
        <f t="shared" si="16"/>
        <v>17247.065423787157</v>
      </c>
      <c r="M28" s="85">
        <f t="shared" si="16"/>
        <v>20705.102041256479</v>
      </c>
      <c r="N28" s="85">
        <f t="shared" si="16"/>
        <v>24369.905102558881</v>
      </c>
      <c r="O28" s="85">
        <f t="shared" si="16"/>
        <v>27635.472386301768</v>
      </c>
      <c r="P28" s="85">
        <f t="shared" si="16"/>
        <v>31780.793244247034</v>
      </c>
      <c r="Q28" s="85">
        <f t="shared" si="16"/>
        <v>36547.912230884082</v>
      </c>
      <c r="R28" s="85">
        <f t="shared" si="16"/>
        <v>42030.09906551669</v>
      </c>
    </row>
    <row r="29" spans="1:18" x14ac:dyDescent="0.25">
      <c r="A29" s="1"/>
      <c r="B29" s="71" t="s">
        <v>18</v>
      </c>
      <c r="C29" s="72">
        <f>C28/C11</f>
        <v>0.3278339994897525</v>
      </c>
      <c r="D29" s="72">
        <f t="shared" ref="C29:R29" si="17">D28/D11</f>
        <v>0.20642094962956059</v>
      </c>
      <c r="E29" s="72">
        <f t="shared" si="17"/>
        <v>0.16836194971112378</v>
      </c>
      <c r="F29" s="72">
        <f t="shared" si="17"/>
        <v>0.14700659563673263</v>
      </c>
      <c r="G29" s="72">
        <f t="shared" si="17"/>
        <v>0.13159801571818738</v>
      </c>
      <c r="H29" s="72">
        <f t="shared" si="17"/>
        <v>8.8347941371436992E-2</v>
      </c>
      <c r="I29" s="96">
        <f t="shared" si="17"/>
        <v>7.7499999999999986E-2</v>
      </c>
      <c r="J29" s="97">
        <f t="shared" si="17"/>
        <v>8.1499999999999989E-2</v>
      </c>
      <c r="K29" s="97">
        <f t="shared" si="17"/>
        <v>8.7499999999999994E-2</v>
      </c>
      <c r="L29" s="97">
        <f t="shared" si="17"/>
        <v>8.9499999999999982E-2</v>
      </c>
      <c r="M29" s="97">
        <f t="shared" si="17"/>
        <v>8.9499999999999982E-2</v>
      </c>
      <c r="N29" s="97">
        <f t="shared" si="17"/>
        <v>8.9499999999999996E-2</v>
      </c>
      <c r="O29" s="97">
        <f t="shared" si="17"/>
        <v>8.9499999999999996E-2</v>
      </c>
      <c r="P29" s="97">
        <f t="shared" si="17"/>
        <v>8.9499999999999996E-2</v>
      </c>
      <c r="Q29" s="97">
        <f t="shared" si="17"/>
        <v>8.9499999999999982E-2</v>
      </c>
      <c r="R29" s="97">
        <f t="shared" si="17"/>
        <v>8.9499999999999996E-2</v>
      </c>
    </row>
    <row r="30" spans="1:18" x14ac:dyDescent="0.25">
      <c r="A30" s="1"/>
      <c r="B30" s="1"/>
      <c r="C30" s="14"/>
      <c r="D30" s="14"/>
      <c r="E30" s="14"/>
      <c r="F30" s="74"/>
      <c r="G30" s="74"/>
      <c r="H30" s="74"/>
      <c r="I30" s="19"/>
      <c r="J30" s="50"/>
      <c r="K30" s="50"/>
      <c r="L30" s="50"/>
      <c r="M30" s="50"/>
      <c r="N30" s="50"/>
      <c r="O30" s="50"/>
      <c r="P30" s="50"/>
      <c r="Q30" s="50"/>
      <c r="R30" s="50"/>
    </row>
    <row r="31" spans="1:18" x14ac:dyDescent="0.25">
      <c r="A31" s="1"/>
      <c r="B31" s="1" t="s">
        <v>14</v>
      </c>
      <c r="C31" s="11">
        <f>C16-C28</f>
        <v>-1632</v>
      </c>
      <c r="D31" s="11">
        <f t="shared" ref="C31:R31" si="18">D16-D28</f>
        <v>-388</v>
      </c>
      <c r="E31" s="11">
        <f t="shared" si="18"/>
        <v>-69</v>
      </c>
      <c r="F31" s="11">
        <f t="shared" si="18"/>
        <v>1994</v>
      </c>
      <c r="G31" s="11">
        <f t="shared" si="18"/>
        <v>6523</v>
      </c>
      <c r="H31" s="11">
        <f>H16-H28</f>
        <v>13656</v>
      </c>
      <c r="I31" s="66">
        <f t="shared" ref="I31:R31" si="19">I16-I28</f>
        <v>11502.760248000002</v>
      </c>
      <c r="J31" s="85">
        <f t="shared" si="19"/>
        <v>18137.889025199998</v>
      </c>
      <c r="K31" s="85">
        <f t="shared" si="19"/>
        <v>23195.185932651388</v>
      </c>
      <c r="L31" s="85">
        <f t="shared" si="19"/>
        <v>26747.404254990593</v>
      </c>
      <c r="M31" s="85">
        <f t="shared" si="19"/>
        <v>33313.236803809312</v>
      </c>
      <c r="N31" s="85">
        <f t="shared" si="19"/>
        <v>44247.034404087346</v>
      </c>
      <c r="O31" s="85">
        <f t="shared" si="19"/>
        <v>50484.913242014969</v>
      </c>
      <c r="P31" s="85">
        <f t="shared" si="19"/>
        <v>59584.548674688849</v>
      </c>
      <c r="Q31" s="85">
        <f t="shared" si="19"/>
        <v>77383.568354776944</v>
      </c>
      <c r="R31" s="85">
        <f t="shared" si="19"/>
        <v>88991.103607993457</v>
      </c>
    </row>
    <row r="32" spans="1:18" x14ac:dyDescent="0.25">
      <c r="A32" s="1"/>
      <c r="B32" s="1" t="s">
        <v>15</v>
      </c>
      <c r="C32" s="74">
        <v>-577</v>
      </c>
      <c r="D32" s="74">
        <v>-617</v>
      </c>
      <c r="E32" s="74">
        <v>-596</v>
      </c>
      <c r="F32" s="74">
        <v>-840</v>
      </c>
      <c r="G32" s="74">
        <v>-180</v>
      </c>
      <c r="H32" s="74">
        <v>63</v>
      </c>
      <c r="I32" s="90">
        <v>-29.650793650793904</v>
      </c>
      <c r="J32" s="87">
        <v>86.458049886621325</v>
      </c>
      <c r="K32" s="87">
        <v>202.56689342403618</v>
      </c>
      <c r="L32" s="87">
        <v>318.6757369614495</v>
      </c>
      <c r="M32" s="87">
        <v>434.78458049886859</v>
      </c>
      <c r="N32" s="87">
        <v>550.89342403627813</v>
      </c>
      <c r="O32" s="87">
        <v>667.00226757369705</v>
      </c>
      <c r="P32" s="87">
        <v>783.11111111110665</v>
      </c>
      <c r="Q32" s="87">
        <v>899.21995464852569</v>
      </c>
      <c r="R32" s="87">
        <v>1015.3287981859427</v>
      </c>
    </row>
    <row r="33" spans="1:86" x14ac:dyDescent="0.25">
      <c r="A33" s="1"/>
      <c r="B33" s="13"/>
      <c r="C33" s="21"/>
      <c r="D33" s="21"/>
      <c r="E33" s="21"/>
      <c r="F33" s="21"/>
      <c r="G33" s="21"/>
      <c r="H33" s="21"/>
      <c r="I33" s="79"/>
      <c r="J33" s="88"/>
      <c r="K33" s="88"/>
      <c r="L33" s="88"/>
      <c r="M33" s="88"/>
      <c r="N33" s="88"/>
      <c r="O33" s="88"/>
      <c r="P33" s="88"/>
      <c r="Q33" s="88"/>
      <c r="R33" s="88"/>
    </row>
    <row r="34" spans="1:86" x14ac:dyDescent="0.25">
      <c r="A34" s="1"/>
      <c r="B34" s="1" t="s">
        <v>16</v>
      </c>
      <c r="C34" s="11">
        <f t="shared" ref="C34:G34" si="20">C31+C32</f>
        <v>-2209</v>
      </c>
      <c r="D34" s="11">
        <f t="shared" si="20"/>
        <v>-1005</v>
      </c>
      <c r="E34" s="11">
        <f t="shared" si="20"/>
        <v>-665</v>
      </c>
      <c r="F34" s="11">
        <f t="shared" si="20"/>
        <v>1154</v>
      </c>
      <c r="G34" s="11">
        <f t="shared" si="20"/>
        <v>6343</v>
      </c>
      <c r="H34" s="11">
        <f>H31+H32</f>
        <v>13719</v>
      </c>
      <c r="I34" s="66">
        <f t="shared" ref="I34:R34" si="21">I31+I32</f>
        <v>11473.109454349209</v>
      </c>
      <c r="J34" s="85">
        <f t="shared" si="21"/>
        <v>18224.347075086618</v>
      </c>
      <c r="K34" s="85">
        <f t="shared" si="21"/>
        <v>23397.752826075422</v>
      </c>
      <c r="L34" s="85">
        <f t="shared" si="21"/>
        <v>27066.079991952043</v>
      </c>
      <c r="M34" s="85">
        <f t="shared" si="21"/>
        <v>33748.02138430818</v>
      </c>
      <c r="N34" s="85">
        <f t="shared" si="21"/>
        <v>44797.927828123626</v>
      </c>
      <c r="O34" s="85">
        <f t="shared" si="21"/>
        <v>51151.915509588667</v>
      </c>
      <c r="P34" s="85">
        <f t="shared" si="21"/>
        <v>60367.659785799959</v>
      </c>
      <c r="Q34" s="85">
        <f t="shared" si="21"/>
        <v>78282.788309425465</v>
      </c>
      <c r="R34" s="85">
        <f t="shared" si="21"/>
        <v>90006.432406179403</v>
      </c>
    </row>
    <row r="35" spans="1:86" x14ac:dyDescent="0.25">
      <c r="A35" s="1"/>
      <c r="B35" s="1"/>
      <c r="C35" s="21"/>
      <c r="D35" s="21"/>
      <c r="E35" s="21"/>
      <c r="F35" s="21"/>
      <c r="G35" s="21"/>
      <c r="H35" s="21"/>
      <c r="I35" s="12"/>
      <c r="J35" s="83"/>
      <c r="K35" s="83"/>
      <c r="L35" s="83"/>
      <c r="M35" s="83"/>
      <c r="N35" s="83"/>
      <c r="O35" s="83"/>
      <c r="P35" s="83"/>
      <c r="Q35" s="83"/>
      <c r="R35" s="84"/>
    </row>
    <row r="36" spans="1:86" x14ac:dyDescent="0.25">
      <c r="A36" s="1"/>
      <c r="B36" s="1" t="s">
        <v>17</v>
      </c>
      <c r="C36" s="11">
        <f>C31</f>
        <v>-1632</v>
      </c>
      <c r="D36" s="11">
        <f t="shared" ref="D36:F36" si="22">D31</f>
        <v>-388</v>
      </c>
      <c r="E36" s="11">
        <f t="shared" si="22"/>
        <v>-69</v>
      </c>
      <c r="F36" s="11">
        <f t="shared" si="22"/>
        <v>1994</v>
      </c>
      <c r="G36" s="11">
        <f>G31</f>
        <v>6523</v>
      </c>
      <c r="H36" s="11">
        <f>H31</f>
        <v>13656</v>
      </c>
      <c r="I36" s="66">
        <f>I31</f>
        <v>11502.760248000002</v>
      </c>
      <c r="J36" s="85">
        <f t="shared" ref="J36:R36" si="23">J31</f>
        <v>18137.889025199998</v>
      </c>
      <c r="K36" s="85">
        <f t="shared" si="23"/>
        <v>23195.185932651388</v>
      </c>
      <c r="L36" s="85">
        <f t="shared" si="23"/>
        <v>26747.404254990593</v>
      </c>
      <c r="M36" s="85">
        <f t="shared" si="23"/>
        <v>33313.236803809312</v>
      </c>
      <c r="N36" s="85">
        <f t="shared" si="23"/>
        <v>44247.034404087346</v>
      </c>
      <c r="O36" s="85">
        <f t="shared" si="23"/>
        <v>50484.913242014969</v>
      </c>
      <c r="P36" s="85">
        <f t="shared" si="23"/>
        <v>59584.548674688849</v>
      </c>
      <c r="Q36" s="85">
        <f t="shared" si="23"/>
        <v>77383.568354776944</v>
      </c>
      <c r="R36" s="85">
        <f t="shared" si="23"/>
        <v>88991.103607993457</v>
      </c>
    </row>
    <row r="37" spans="1:86" x14ac:dyDescent="0.25">
      <c r="A37" s="1"/>
      <c r="B37" s="71" t="s">
        <v>18</v>
      </c>
      <c r="C37" s="72">
        <f>C36/C11</f>
        <v>-0.13878731184624543</v>
      </c>
      <c r="D37" s="72">
        <f>D36/D11</f>
        <v>-1.8079306649270769E-2</v>
      </c>
      <c r="E37" s="72">
        <f>E36/E11</f>
        <v>-2.8073887216209618E-3</v>
      </c>
      <c r="F37" s="72">
        <f>F36/F11</f>
        <v>6.3229325215626589E-2</v>
      </c>
      <c r="G37" s="72">
        <f>G36/G11</f>
        <v>0.12119354179440016</v>
      </c>
      <c r="H37" s="72">
        <f>H36/H11</f>
        <v>0.16763644398615304</v>
      </c>
      <c r="I37" s="94">
        <f>I36/I11</f>
        <v>0.11480000000000003</v>
      </c>
      <c r="J37" s="95">
        <f>J36/J11</f>
        <v>0.14000000000000001</v>
      </c>
      <c r="K37" s="95">
        <f>K36/K11</f>
        <v>0.14450000000000002</v>
      </c>
      <c r="L37" s="95">
        <f>L36/L11</f>
        <v>0.13880000000000003</v>
      </c>
      <c r="M37" s="95">
        <f>M36/M11</f>
        <v>0.14399999999999999</v>
      </c>
      <c r="N37" s="95">
        <f>N36/N11</f>
        <v>0.16249999999999998</v>
      </c>
      <c r="O37" s="95">
        <f>O36/O11</f>
        <v>0.16350000000000001</v>
      </c>
      <c r="P37" s="95">
        <f>P36/P11</f>
        <v>0.16779999999999998</v>
      </c>
      <c r="Q37" s="95">
        <f>Q36/Q11</f>
        <v>0.18950000000000006</v>
      </c>
      <c r="R37" s="95">
        <f>R36/R11</f>
        <v>0.18950000000000003</v>
      </c>
    </row>
    <row r="38" spans="1:86" x14ac:dyDescent="0.25">
      <c r="A38" s="1"/>
      <c r="B38" s="13"/>
      <c r="C38" s="1"/>
      <c r="D38" s="1"/>
      <c r="F38" s="1"/>
      <c r="G38" s="1"/>
      <c r="H38" s="1"/>
      <c r="I38" s="12"/>
      <c r="J38" s="83"/>
      <c r="K38" s="83"/>
      <c r="L38" s="83"/>
      <c r="M38" s="83"/>
      <c r="N38" s="83"/>
      <c r="O38" s="84"/>
      <c r="P38" s="84"/>
      <c r="Q38" s="84"/>
      <c r="R38" s="84"/>
    </row>
    <row r="39" spans="1:86" x14ac:dyDescent="0.25">
      <c r="A39" s="1"/>
      <c r="B39" s="1" t="s">
        <v>19</v>
      </c>
      <c r="C39" s="11">
        <v>32</v>
      </c>
      <c r="D39" s="11">
        <v>58</v>
      </c>
      <c r="E39" s="22">
        <v>110</v>
      </c>
      <c r="F39" s="11">
        <v>292</v>
      </c>
      <c r="G39" s="11">
        <v>699</v>
      </c>
      <c r="H39" s="18">
        <v>1132</v>
      </c>
      <c r="I39" s="20">
        <f>I40*I36</f>
        <v>1368.8284695120003</v>
      </c>
      <c r="J39" s="82">
        <f t="shared" ref="J39:R39" si="24">J40*J36</f>
        <v>2158.4087939987999</v>
      </c>
      <c r="K39" s="82">
        <f t="shared" si="24"/>
        <v>2760.2271259855152</v>
      </c>
      <c r="L39" s="82">
        <f t="shared" si="24"/>
        <v>3182.9411063438806</v>
      </c>
      <c r="M39" s="82">
        <f t="shared" si="24"/>
        <v>3964.275179653308</v>
      </c>
      <c r="N39" s="82">
        <f t="shared" si="24"/>
        <v>5265.3970940863937</v>
      </c>
      <c r="O39" s="82">
        <f t="shared" si="24"/>
        <v>6007.7046757997814</v>
      </c>
      <c r="P39" s="82">
        <f t="shared" si="24"/>
        <v>7090.5612922879727</v>
      </c>
      <c r="Q39" s="82">
        <f t="shared" si="24"/>
        <v>9208.6446342184554</v>
      </c>
      <c r="R39" s="82">
        <f t="shared" si="24"/>
        <v>10589.941329351221</v>
      </c>
    </row>
    <row r="40" spans="1:86" x14ac:dyDescent="0.25">
      <c r="A40" s="1"/>
      <c r="B40" s="71" t="s">
        <v>20</v>
      </c>
      <c r="C40" s="73">
        <f>C39/C36</f>
        <v>-1.9607843137254902E-2</v>
      </c>
      <c r="D40" s="73">
        <f t="shared" ref="D40:G40" si="25">D39/D36</f>
        <v>-0.14948453608247422</v>
      </c>
      <c r="E40" s="73">
        <f>E39/E36</f>
        <v>-1.5942028985507246</v>
      </c>
      <c r="F40" s="73">
        <f>F39/F36</f>
        <v>0.14643931795386159</v>
      </c>
      <c r="G40" s="73">
        <f t="shared" si="25"/>
        <v>0.10715928253870918</v>
      </c>
      <c r="H40" s="73">
        <f>H39/H36</f>
        <v>8.2893966022261276E-2</v>
      </c>
      <c r="I40" s="100">
        <v>0.11899999999999999</v>
      </c>
      <c r="J40" s="101">
        <v>0.11899999999999999</v>
      </c>
      <c r="K40" s="101">
        <v>0.11899999999999999</v>
      </c>
      <c r="L40" s="101">
        <v>0.11899999999999999</v>
      </c>
      <c r="M40" s="101">
        <v>0.11899999999999999</v>
      </c>
      <c r="N40" s="101">
        <v>0.11899999999999999</v>
      </c>
      <c r="O40" s="101">
        <v>0.11899999999999999</v>
      </c>
      <c r="P40" s="101">
        <v>0.11899999999999999</v>
      </c>
      <c r="Q40" s="101">
        <v>0.11899999999999999</v>
      </c>
      <c r="R40" s="101">
        <v>0.11899999999999999</v>
      </c>
    </row>
    <row r="41" spans="1:86" x14ac:dyDescent="0.25">
      <c r="A41" s="1"/>
      <c r="B41" s="1"/>
      <c r="C41" s="1"/>
      <c r="D41" s="1"/>
      <c r="E41" s="1"/>
      <c r="F41" s="1"/>
      <c r="G41" s="1"/>
      <c r="H41" s="1"/>
      <c r="I41" s="12"/>
      <c r="J41" s="83"/>
      <c r="K41" s="83"/>
      <c r="L41" s="83"/>
      <c r="M41" s="83"/>
      <c r="N41" s="83"/>
      <c r="O41" s="83"/>
      <c r="P41" s="83"/>
      <c r="Q41" s="83"/>
      <c r="R41" s="84"/>
    </row>
    <row r="42" spans="1:86" x14ac:dyDescent="0.25">
      <c r="A42" s="1"/>
      <c r="B42" s="9" t="s">
        <v>21</v>
      </c>
      <c r="C42" s="9">
        <v>2017</v>
      </c>
      <c r="D42" s="9">
        <f>C42+1</f>
        <v>2018</v>
      </c>
      <c r="E42" s="9">
        <f>D42+1</f>
        <v>2019</v>
      </c>
      <c r="F42" s="9">
        <v>2020</v>
      </c>
      <c r="G42" s="9">
        <v>2021</v>
      </c>
      <c r="H42" s="9">
        <v>2022</v>
      </c>
      <c r="I42" s="67">
        <v>2023</v>
      </c>
      <c r="J42" s="89">
        <v>2024</v>
      </c>
      <c r="K42" s="89">
        <v>2025</v>
      </c>
      <c r="L42" s="89">
        <v>2026</v>
      </c>
      <c r="M42" s="89">
        <v>2027</v>
      </c>
      <c r="N42" s="89">
        <v>2028</v>
      </c>
      <c r="O42" s="89">
        <v>2029</v>
      </c>
      <c r="P42" s="89">
        <v>2030</v>
      </c>
      <c r="Q42" s="89">
        <v>2031</v>
      </c>
      <c r="R42" s="89">
        <v>2032</v>
      </c>
      <c r="S42" s="9">
        <v>2033</v>
      </c>
      <c r="T42" s="9">
        <v>2034</v>
      </c>
      <c r="U42" s="9">
        <v>2035</v>
      </c>
      <c r="V42" s="9">
        <v>2036</v>
      </c>
      <c r="W42" s="9">
        <v>2037</v>
      </c>
      <c r="X42" s="9">
        <v>2038</v>
      </c>
      <c r="Y42" s="9">
        <v>2039</v>
      </c>
      <c r="Z42" s="9">
        <v>2040</v>
      </c>
      <c r="AA42" s="9">
        <v>2041</v>
      </c>
      <c r="AB42" s="9">
        <v>2042</v>
      </c>
      <c r="AC42" s="9">
        <v>2043</v>
      </c>
      <c r="AD42" s="9">
        <v>2044</v>
      </c>
      <c r="AE42" s="9">
        <v>2045</v>
      </c>
      <c r="AF42" s="9">
        <v>2046</v>
      </c>
      <c r="AG42" s="9">
        <v>2047</v>
      </c>
      <c r="AH42" s="9">
        <v>2048</v>
      </c>
      <c r="AI42" s="9">
        <v>2049</v>
      </c>
      <c r="AJ42" s="9">
        <v>2050</v>
      </c>
      <c r="AK42" s="9">
        <v>2051</v>
      </c>
      <c r="AL42" s="9">
        <v>2052</v>
      </c>
      <c r="AM42" s="9">
        <v>2053</v>
      </c>
      <c r="AN42" s="9">
        <v>2054</v>
      </c>
      <c r="AO42" s="9">
        <v>2055</v>
      </c>
      <c r="AP42" s="9">
        <v>2056</v>
      </c>
      <c r="AQ42" s="9">
        <v>2057</v>
      </c>
      <c r="AR42" s="9">
        <v>2058</v>
      </c>
      <c r="AS42" s="9">
        <v>2059</v>
      </c>
      <c r="AT42" s="9">
        <v>2060</v>
      </c>
      <c r="AU42" s="9">
        <v>2061</v>
      </c>
      <c r="AV42" s="9">
        <v>2062</v>
      </c>
      <c r="AW42" s="9">
        <v>2063</v>
      </c>
      <c r="AX42" s="9">
        <v>2064</v>
      </c>
      <c r="AY42" s="9">
        <v>2065</v>
      </c>
      <c r="AZ42" s="9">
        <v>2066</v>
      </c>
      <c r="BA42" s="9">
        <v>2067</v>
      </c>
      <c r="BB42" s="9">
        <v>2068</v>
      </c>
      <c r="BC42" s="9">
        <v>2069</v>
      </c>
      <c r="BD42" s="9">
        <v>2070</v>
      </c>
      <c r="BE42" s="9">
        <v>2071</v>
      </c>
      <c r="BF42" s="9">
        <v>2072</v>
      </c>
      <c r="BG42" s="9">
        <v>2073</v>
      </c>
      <c r="BH42" s="9">
        <v>2074</v>
      </c>
      <c r="BI42" s="9">
        <v>2075</v>
      </c>
      <c r="BJ42" s="9">
        <v>2076</v>
      </c>
      <c r="BK42" s="9">
        <v>2077</v>
      </c>
      <c r="BL42" s="9">
        <v>2078</v>
      </c>
      <c r="BM42" s="9">
        <v>2079</v>
      </c>
      <c r="BN42" s="9">
        <v>2080</v>
      </c>
      <c r="BO42" s="9">
        <v>2081</v>
      </c>
      <c r="BP42" s="9">
        <v>2082</v>
      </c>
      <c r="BQ42" s="9">
        <v>2083</v>
      </c>
      <c r="BR42" s="9">
        <v>2084</v>
      </c>
      <c r="BS42" s="9">
        <v>2085</v>
      </c>
      <c r="BT42" s="9">
        <v>2086</v>
      </c>
      <c r="BU42" s="9">
        <v>2087</v>
      </c>
      <c r="BV42" s="9">
        <v>2088</v>
      </c>
      <c r="BW42" s="9">
        <v>2089</v>
      </c>
      <c r="BX42" s="9">
        <v>2090</v>
      </c>
      <c r="BY42" s="9">
        <v>2091</v>
      </c>
      <c r="BZ42" s="9">
        <v>2092</v>
      </c>
      <c r="CA42" s="9">
        <v>2093</v>
      </c>
      <c r="CB42" s="9">
        <v>2094</v>
      </c>
      <c r="CC42" s="9">
        <v>2095</v>
      </c>
      <c r="CD42" s="9">
        <v>2096</v>
      </c>
      <c r="CE42" s="9">
        <v>2097</v>
      </c>
      <c r="CF42" s="9">
        <v>2098</v>
      </c>
      <c r="CG42" s="9">
        <v>2099</v>
      </c>
      <c r="CH42" s="9">
        <v>2100</v>
      </c>
    </row>
    <row r="43" spans="1:86" x14ac:dyDescent="0.25">
      <c r="A43" s="1"/>
      <c r="B43" s="1" t="s">
        <v>22</v>
      </c>
      <c r="C43" s="11">
        <v>1636</v>
      </c>
      <c r="D43" s="11">
        <v>1901</v>
      </c>
      <c r="E43" s="22">
        <v>2154</v>
      </c>
      <c r="F43" s="11">
        <v>2322</v>
      </c>
      <c r="G43" s="11">
        <v>2911</v>
      </c>
      <c r="H43" s="11">
        <v>3747</v>
      </c>
      <c r="I43" s="20">
        <f>I44*I11</f>
        <v>4448.8027439999996</v>
      </c>
      <c r="J43" s="82">
        <f>J44*J11</f>
        <v>5337.7216274159991</v>
      </c>
      <c r="K43" s="82">
        <f>K44*K11</f>
        <v>6131.8761427493619</v>
      </c>
      <c r="L43" s="82">
        <f>L44*L11</f>
        <v>7532.3407079646022</v>
      </c>
      <c r="M43" s="82">
        <f>M44*M11</f>
        <v>8924.070796460177</v>
      </c>
      <c r="N43" s="82">
        <f>N44*N11</f>
        <v>9848.3495575221241</v>
      </c>
      <c r="O43" s="82">
        <f>O44*O11</f>
        <v>10857.619469026549</v>
      </c>
      <c r="P43" s="82">
        <f>P44*P11</f>
        <v>11983.75221238938</v>
      </c>
      <c r="Q43" s="82">
        <f>Q44*Q11</f>
        <v>13811.061946902655</v>
      </c>
      <c r="R43" s="82">
        <f>R44*R11</f>
        <v>14501.615044247786</v>
      </c>
    </row>
    <row r="44" spans="1:86" x14ac:dyDescent="0.25">
      <c r="A44" s="1"/>
      <c r="B44" s="71" t="s">
        <v>18</v>
      </c>
      <c r="C44" s="72">
        <f>C43/C11</f>
        <v>0.13912747682626073</v>
      </c>
      <c r="D44" s="72">
        <f>D43/D11</f>
        <v>8.8579283351195193E-2</v>
      </c>
      <c r="E44" s="72">
        <f>E43/E11</f>
        <v>8.7639352266254369E-2</v>
      </c>
      <c r="F44" s="72">
        <f>F43/F11</f>
        <v>7.3630136986301373E-2</v>
      </c>
      <c r="G44" s="72">
        <f>G43/G11</f>
        <v>5.4084684985972541E-2</v>
      </c>
      <c r="H44" s="72">
        <f>H43/H11</f>
        <v>4.5996906533107458E-2</v>
      </c>
      <c r="I44" s="102">
        <v>4.4400000000000002E-2</v>
      </c>
      <c r="J44" s="103">
        <v>4.1200000000000001E-2</v>
      </c>
      <c r="K44" s="103">
        <v>3.8199999999999998E-2</v>
      </c>
      <c r="L44" s="103">
        <v>3.9087489772784853E-2</v>
      </c>
      <c r="M44" s="103">
        <v>3.8575242695819953E-2</v>
      </c>
      <c r="N44" s="103">
        <v>3.6168679430174669E-2</v>
      </c>
      <c r="O44" s="103">
        <v>3.5163391777574694E-2</v>
      </c>
      <c r="P44" s="103">
        <v>3.3748239534675616E-2</v>
      </c>
      <c r="Q44" s="103">
        <v>3.3821084948410657E-2</v>
      </c>
      <c r="R44" s="103">
        <v>3.0880121039853211E-2</v>
      </c>
    </row>
    <row r="45" spans="1:86" x14ac:dyDescent="0.25">
      <c r="A45" s="1"/>
      <c r="B45" s="1"/>
      <c r="C45" s="1"/>
      <c r="D45" s="1"/>
      <c r="F45" s="1"/>
      <c r="G45" s="1"/>
      <c r="H45" s="1"/>
      <c r="I45" s="12"/>
      <c r="J45" s="83"/>
      <c r="K45" s="83"/>
      <c r="L45" s="83"/>
      <c r="M45" s="83"/>
      <c r="N45" s="83"/>
      <c r="O45" s="84"/>
      <c r="P45" s="84"/>
      <c r="Q45" s="84"/>
      <c r="R45" s="84"/>
    </row>
    <row r="46" spans="1:86" x14ac:dyDescent="0.25">
      <c r="A46" s="1"/>
      <c r="B46" s="1" t="s">
        <v>23</v>
      </c>
      <c r="C46" s="11">
        <v>-3415</v>
      </c>
      <c r="D46" s="11">
        <v>-2101</v>
      </c>
      <c r="E46" s="22">
        <v>-1327</v>
      </c>
      <c r="F46" s="11">
        <v>-3157</v>
      </c>
      <c r="G46" s="11">
        <v>-6482</v>
      </c>
      <c r="H46" s="11">
        <v>-7158</v>
      </c>
      <c r="I46" s="20">
        <f>I47*I11</f>
        <v>-7969.9999999999955</v>
      </c>
      <c r="J46" s="82">
        <f>J47*J11</f>
        <v>-8780.0000000000036</v>
      </c>
      <c r="K46" s="82">
        <f>K47*K11</f>
        <v>-9070</v>
      </c>
      <c r="L46" s="82">
        <f>L47*L11</f>
        <v>-10517.654867256637</v>
      </c>
      <c r="M46" s="82">
        <f>M47*M11</f>
        <v>-10614.332300884955</v>
      </c>
      <c r="N46" s="82">
        <f>N47*N11</f>
        <v>-11048.849557522124</v>
      </c>
      <c r="O46" s="82">
        <f>O47*O11</f>
        <v>-12196.230088495575</v>
      </c>
      <c r="P46" s="82">
        <f>P47*P11</f>
        <v>-12674.305309734513</v>
      </c>
      <c r="Q46" s="82">
        <f>Q47*Q11</f>
        <v>-14660.973451327432</v>
      </c>
      <c r="R46" s="82">
        <f>R47*R11</f>
        <v>-15957.088495575219</v>
      </c>
    </row>
    <row r="47" spans="1:86" x14ac:dyDescent="0.25">
      <c r="A47" s="1"/>
      <c r="B47" s="71" t="s">
        <v>18</v>
      </c>
      <c r="C47" s="72">
        <f>C46/C11</f>
        <v>-0.29041585168806872</v>
      </c>
      <c r="D47" s="72">
        <f>D46/D11</f>
        <v>-9.7898513582778068E-2</v>
      </c>
      <c r="E47" s="72">
        <f>E46/E11</f>
        <v>-5.3991374399869806E-2</v>
      </c>
      <c r="F47" s="72">
        <f>F46/F11</f>
        <v>-0.1001078132927448</v>
      </c>
      <c r="G47" s="72">
        <f>G46/G11</f>
        <v>-0.12043178566783717</v>
      </c>
      <c r="H47" s="72">
        <f>H46/H11</f>
        <v>-8.7869190542829781E-2</v>
      </c>
      <c r="I47" s="102">
        <v>-7.9542299437135894E-2</v>
      </c>
      <c r="J47" s="103">
        <v>-6.7769738710618602E-2</v>
      </c>
      <c r="K47" s="103">
        <v>-5.6503750554336984E-2</v>
      </c>
      <c r="L47" s="103">
        <v>-5.4579146509248243E-2</v>
      </c>
      <c r="M47" s="103">
        <v>-4.588157735404013E-2</v>
      </c>
      <c r="N47" s="103">
        <v>-4.0577590730724547E-2</v>
      </c>
      <c r="O47" s="103">
        <v>-3.9498604462481157E-2</v>
      </c>
      <c r="P47" s="103">
        <v>-3.569295191920923E-2</v>
      </c>
      <c r="Q47" s="103">
        <v>-3.5902382483697468E-2</v>
      </c>
      <c r="R47" s="103">
        <v>-3.3979444543486829E-2</v>
      </c>
    </row>
    <row r="48" spans="1:86" x14ac:dyDescent="0.25">
      <c r="A48" s="1"/>
      <c r="B48" s="1"/>
      <c r="C48" s="1"/>
      <c r="D48" s="1"/>
      <c r="F48" s="1"/>
      <c r="G48" s="1"/>
      <c r="H48" s="1"/>
      <c r="I48" s="12"/>
      <c r="J48" s="83"/>
      <c r="K48" s="83"/>
      <c r="L48" s="83"/>
      <c r="M48" s="83"/>
      <c r="N48" s="83"/>
      <c r="O48" s="84"/>
      <c r="P48" s="84"/>
      <c r="Q48" s="84"/>
      <c r="R48" s="84"/>
    </row>
    <row r="49" spans="1:86" x14ac:dyDescent="0.25">
      <c r="A49" s="1"/>
      <c r="B49" s="1" t="s">
        <v>24</v>
      </c>
      <c r="C49" s="1">
        <v>-497</v>
      </c>
      <c r="D49" s="1">
        <v>58</v>
      </c>
      <c r="E49" s="2">
        <v>-349</v>
      </c>
      <c r="F49" s="36">
        <v>184</v>
      </c>
      <c r="G49" s="36">
        <v>518</v>
      </c>
      <c r="H49" s="36">
        <v>-3908</v>
      </c>
      <c r="I49" s="20">
        <f>I50*I11</f>
        <v>-500.99129999999997</v>
      </c>
      <c r="J49" s="82">
        <f>J50*J11</f>
        <v>-647.78175089999991</v>
      </c>
      <c r="K49" s="82">
        <f>K50*K11</f>
        <v>-802.60158936509981</v>
      </c>
      <c r="L49" s="82">
        <f>L50*L11</f>
        <v>-963.52320803280224</v>
      </c>
      <c r="M49" s="82">
        <f>M50*M11</f>
        <v>-1156.709611243379</v>
      </c>
      <c r="N49" s="82">
        <f>N50*N11</f>
        <v>-1361.447212433457</v>
      </c>
      <c r="O49" s="82">
        <f>O50*O11</f>
        <v>-1543.8811388995402</v>
      </c>
      <c r="P49" s="82">
        <f>P50*P11</f>
        <v>-1775.4633097344713</v>
      </c>
      <c r="Q49" s="82">
        <f>Q50*Q11</f>
        <v>-2041.7828061946418</v>
      </c>
      <c r="R49" s="82">
        <f>R50*R11</f>
        <v>-2348.0502271238379</v>
      </c>
    </row>
    <row r="50" spans="1:86" x14ac:dyDescent="0.25">
      <c r="A50" s="1"/>
      <c r="B50" s="71" t="s">
        <v>18</v>
      </c>
      <c r="C50" s="72">
        <f>C49/C11</f>
        <v>-4.226549876690195E-2</v>
      </c>
      <c r="D50" s="72">
        <f>D49/D11</f>
        <v>2.7025767671590329E-3</v>
      </c>
      <c r="E50" s="72">
        <f>E49/E11</f>
        <v>-1.4199690780372691E-2</v>
      </c>
      <c r="F50" s="72">
        <f>F49/F11</f>
        <v>5.8346017250126836E-3</v>
      </c>
      <c r="G50" s="72">
        <f>G49/G11</f>
        <v>9.6241383795031867E-3</v>
      </c>
      <c r="H50" s="72">
        <f>H49/H11</f>
        <v>-4.797328815889617E-2</v>
      </c>
      <c r="I50" s="104">
        <v>-5.0000000000000001E-3</v>
      </c>
      <c r="J50" s="105">
        <v>-5.0000000000000001E-3</v>
      </c>
      <c r="K50" s="105">
        <v>-5.0000000000000001E-3</v>
      </c>
      <c r="L50" s="105">
        <v>-5.0000000000000001E-3</v>
      </c>
      <c r="M50" s="105">
        <v>-5.0000000000000001E-3</v>
      </c>
      <c r="N50" s="105">
        <v>-5.0000000000000001E-3</v>
      </c>
      <c r="O50" s="105">
        <v>-5.0000000000000001E-3</v>
      </c>
      <c r="P50" s="105">
        <v>-5.0000000000000001E-3</v>
      </c>
      <c r="Q50" s="105">
        <v>-5.0000000000000001E-3</v>
      </c>
      <c r="R50" s="105">
        <v>-5.0000000000000001E-3</v>
      </c>
    </row>
    <row r="51" spans="1:86" x14ac:dyDescent="0.25">
      <c r="A51" s="1"/>
      <c r="B51" s="1"/>
      <c r="C51" s="1"/>
      <c r="D51" s="1"/>
      <c r="E51" s="1"/>
      <c r="F51" s="1"/>
      <c r="G51" s="1"/>
      <c r="H51" s="1"/>
      <c r="I51" s="12"/>
      <c r="J51" s="83"/>
      <c r="K51" s="83"/>
      <c r="L51" s="83"/>
      <c r="M51" s="83"/>
      <c r="N51" s="83"/>
      <c r="O51" s="83"/>
      <c r="P51" s="83"/>
      <c r="Q51" s="83"/>
      <c r="R51" s="84"/>
    </row>
    <row r="52" spans="1:86" x14ac:dyDescent="0.25">
      <c r="A52" s="1"/>
      <c r="B52" s="9" t="s">
        <v>25</v>
      </c>
      <c r="C52" s="11">
        <f>C36+C39</f>
        <v>-1600</v>
      </c>
      <c r="D52" s="11">
        <f t="shared" ref="D52:E52" si="26">D36+D39</f>
        <v>-330</v>
      </c>
      <c r="E52" s="11">
        <f t="shared" si="26"/>
        <v>41</v>
      </c>
      <c r="F52" s="11">
        <f>F36-F39</f>
        <v>1702</v>
      </c>
      <c r="G52" s="11">
        <f t="shared" ref="G52" si="27">G36-G39</f>
        <v>5824</v>
      </c>
      <c r="H52" s="11">
        <f>H36-H39</f>
        <v>12524</v>
      </c>
      <c r="I52" s="66">
        <f t="shared" ref="I52:R52" si="28">I36-I39</f>
        <v>10133.931778488002</v>
      </c>
      <c r="J52" s="85">
        <f t="shared" si="28"/>
        <v>15979.480231201198</v>
      </c>
      <c r="K52" s="85">
        <f t="shared" si="28"/>
        <v>20434.958806665873</v>
      </c>
      <c r="L52" s="85">
        <f t="shared" si="28"/>
        <v>23564.463148646711</v>
      </c>
      <c r="M52" s="85">
        <f t="shared" si="28"/>
        <v>29348.961624156003</v>
      </c>
      <c r="N52" s="85">
        <f t="shared" si="28"/>
        <v>38981.637310000951</v>
      </c>
      <c r="O52" s="85">
        <f t="shared" si="28"/>
        <v>44477.208566215188</v>
      </c>
      <c r="P52" s="85">
        <f t="shared" si="28"/>
        <v>52493.987382400876</v>
      </c>
      <c r="Q52" s="85">
        <f t="shared" si="28"/>
        <v>68174.923720558494</v>
      </c>
      <c r="R52" s="85">
        <f t="shared" si="28"/>
        <v>78401.162278642238</v>
      </c>
    </row>
    <row r="53" spans="1:86" x14ac:dyDescent="0.25">
      <c r="A53" s="1"/>
      <c r="B53" s="9" t="s">
        <v>55</v>
      </c>
      <c r="C53" s="11">
        <v>-279</v>
      </c>
      <c r="D53" s="11">
        <v>-87</v>
      </c>
      <c r="E53" s="11">
        <v>87</v>
      </c>
      <c r="F53" s="11">
        <v>141</v>
      </c>
      <c r="G53" s="11">
        <v>125</v>
      </c>
      <c r="H53" s="11">
        <v>31</v>
      </c>
      <c r="I53" s="66">
        <v>50</v>
      </c>
      <c r="J53" s="85">
        <v>50</v>
      </c>
      <c r="K53" s="85">
        <v>50</v>
      </c>
      <c r="L53" s="85">
        <v>50</v>
      </c>
      <c r="M53" s="85">
        <v>50</v>
      </c>
      <c r="N53" s="85">
        <v>50</v>
      </c>
      <c r="O53" s="85">
        <v>50</v>
      </c>
      <c r="P53" s="85">
        <v>50</v>
      </c>
      <c r="Q53" s="85">
        <v>50</v>
      </c>
      <c r="R53" s="85">
        <v>50</v>
      </c>
    </row>
    <row r="54" spans="1:86" x14ac:dyDescent="0.25">
      <c r="A54" s="1"/>
      <c r="B54" s="9" t="s">
        <v>26</v>
      </c>
      <c r="C54" s="11">
        <f t="shared" ref="C54:G54" si="29">C34-C39-C53</f>
        <v>-1962</v>
      </c>
      <c r="D54" s="11">
        <f t="shared" si="29"/>
        <v>-976</v>
      </c>
      <c r="E54" s="11">
        <f t="shared" si="29"/>
        <v>-862</v>
      </c>
      <c r="F54" s="11">
        <f t="shared" si="29"/>
        <v>721</v>
      </c>
      <c r="G54" s="11">
        <f t="shared" si="29"/>
        <v>5519</v>
      </c>
      <c r="H54" s="11">
        <f>H34-H39-H53</f>
        <v>12556</v>
      </c>
      <c r="I54" s="66">
        <f>I34-I39-I53</f>
        <v>10054.280984837209</v>
      </c>
      <c r="J54" s="85">
        <f t="shared" ref="I54:R54" si="30">J34-J39-J53</f>
        <v>16015.938281087818</v>
      </c>
      <c r="K54" s="85">
        <f t="shared" si="30"/>
        <v>20587.525700089907</v>
      </c>
      <c r="L54" s="85">
        <f t="shared" si="30"/>
        <v>23833.138885608161</v>
      </c>
      <c r="M54" s="85">
        <f t="shared" si="30"/>
        <v>29733.746204654872</v>
      </c>
      <c r="N54" s="85">
        <f t="shared" si="30"/>
        <v>39482.530734037231</v>
      </c>
      <c r="O54" s="85">
        <f t="shared" si="30"/>
        <v>45094.210833788886</v>
      </c>
      <c r="P54" s="85">
        <f t="shared" si="30"/>
        <v>53227.098493511985</v>
      </c>
      <c r="Q54" s="85">
        <f t="shared" si="30"/>
        <v>69024.143675207015</v>
      </c>
      <c r="R54" s="85">
        <f t="shared" si="30"/>
        <v>79366.491076828184</v>
      </c>
      <c r="S54" s="62">
        <f>R54*(1+$E$6)</f>
        <v>81747.485809133039</v>
      </c>
      <c r="T54" s="62">
        <f t="shared" ref="T54:CE54" si="31">S54*(1+$E$6)</f>
        <v>84199.910383407027</v>
      </c>
      <c r="U54" s="62">
        <f t="shared" si="31"/>
        <v>86725.907694909241</v>
      </c>
      <c r="V54" s="62">
        <f t="shared" si="31"/>
        <v>89327.684925756519</v>
      </c>
      <c r="W54" s="62">
        <f t="shared" si="31"/>
        <v>92007.515473529216</v>
      </c>
      <c r="X54" s="62">
        <f t="shared" si="31"/>
        <v>94767.7409377351</v>
      </c>
      <c r="Y54" s="62">
        <f t="shared" si="31"/>
        <v>97610.773165867155</v>
      </c>
      <c r="Z54" s="62">
        <f t="shared" si="31"/>
        <v>100539.09636084318</v>
      </c>
      <c r="AA54" s="62">
        <f t="shared" si="31"/>
        <v>103555.26925166848</v>
      </c>
      <c r="AB54" s="62">
        <f t="shared" si="31"/>
        <v>106661.92732921854</v>
      </c>
      <c r="AC54" s="62">
        <f t="shared" si="31"/>
        <v>109861.7851490951</v>
      </c>
      <c r="AD54" s="62">
        <f t="shared" si="31"/>
        <v>113157.63870356795</v>
      </c>
      <c r="AE54" s="62">
        <f t="shared" si="31"/>
        <v>116552.36786467499</v>
      </c>
      <c r="AF54" s="62">
        <f t="shared" si="31"/>
        <v>120048.93890061525</v>
      </c>
      <c r="AG54" s="62">
        <f t="shared" si="31"/>
        <v>123650.40706763371</v>
      </c>
      <c r="AH54" s="62">
        <f t="shared" si="31"/>
        <v>127359.91927966273</v>
      </c>
      <c r="AI54" s="62">
        <f t="shared" si="31"/>
        <v>131180.71685805262</v>
      </c>
      <c r="AJ54" s="62">
        <f t="shared" si="31"/>
        <v>135116.13836379419</v>
      </c>
      <c r="AK54" s="62">
        <f t="shared" si="31"/>
        <v>139169.62251470803</v>
      </c>
      <c r="AL54" s="62">
        <f t="shared" si="31"/>
        <v>143344.71119014928</v>
      </c>
      <c r="AM54" s="62">
        <f t="shared" si="31"/>
        <v>147645.05252585377</v>
      </c>
      <c r="AN54" s="62">
        <f t="shared" si="31"/>
        <v>152074.40410162939</v>
      </c>
      <c r="AO54" s="62">
        <f t="shared" si="31"/>
        <v>156636.63622467828</v>
      </c>
      <c r="AP54" s="62">
        <f t="shared" si="31"/>
        <v>161335.73531141863</v>
      </c>
      <c r="AQ54" s="62">
        <f t="shared" si="31"/>
        <v>166175.80737076118</v>
      </c>
      <c r="AR54" s="62">
        <f t="shared" si="31"/>
        <v>171161.08159188402</v>
      </c>
      <c r="AS54" s="62">
        <f t="shared" si="31"/>
        <v>176295.91403964054</v>
      </c>
      <c r="AT54" s="62">
        <f t="shared" si="31"/>
        <v>181584.79146082976</v>
      </c>
      <c r="AU54" s="62">
        <f t="shared" si="31"/>
        <v>187032.33520465466</v>
      </c>
      <c r="AV54" s="62">
        <f t="shared" si="31"/>
        <v>192643.3052607943</v>
      </c>
      <c r="AW54" s="62">
        <f t="shared" si="31"/>
        <v>198422.60441861814</v>
      </c>
      <c r="AX54" s="62">
        <f t="shared" si="31"/>
        <v>204375.2825511767</v>
      </c>
      <c r="AY54" s="62">
        <f t="shared" si="31"/>
        <v>210506.541027712</v>
      </c>
      <c r="AZ54" s="62">
        <f t="shared" si="31"/>
        <v>216821.73725854335</v>
      </c>
      <c r="BA54" s="62">
        <f t="shared" si="31"/>
        <v>223326.38937629966</v>
      </c>
      <c r="BB54" s="62">
        <f t="shared" si="31"/>
        <v>230026.18105758866</v>
      </c>
      <c r="BC54" s="62">
        <f t="shared" si="31"/>
        <v>236926.96648931634</v>
      </c>
      <c r="BD54" s="62">
        <f t="shared" si="31"/>
        <v>244034.77548399585</v>
      </c>
      <c r="BE54" s="62">
        <f t="shared" si="31"/>
        <v>251355.81874851574</v>
      </c>
      <c r="BF54" s="62">
        <f t="shared" si="31"/>
        <v>258896.49331097121</v>
      </c>
      <c r="BG54" s="62">
        <f t="shared" si="31"/>
        <v>266663.38811030035</v>
      </c>
      <c r="BH54" s="62">
        <f t="shared" si="31"/>
        <v>274663.2897536094</v>
      </c>
      <c r="BI54" s="62">
        <f t="shared" si="31"/>
        <v>282903.18844621768</v>
      </c>
      <c r="BJ54" s="62">
        <f t="shared" si="31"/>
        <v>291390.28409960424</v>
      </c>
      <c r="BK54" s="62">
        <f t="shared" si="31"/>
        <v>300131.99262259237</v>
      </c>
      <c r="BL54" s="62">
        <f t="shared" si="31"/>
        <v>309135.95240127016</v>
      </c>
      <c r="BM54" s="62">
        <f t="shared" si="31"/>
        <v>318410.03097330825</v>
      </c>
      <c r="BN54" s="62">
        <f t="shared" si="31"/>
        <v>327962.33190250752</v>
      </c>
      <c r="BO54" s="62">
        <f t="shared" si="31"/>
        <v>337801.20185958274</v>
      </c>
      <c r="BP54" s="62">
        <f t="shared" si="31"/>
        <v>347935.23791537021</v>
      </c>
      <c r="BQ54" s="62">
        <f t="shared" si="31"/>
        <v>358373.29505283129</v>
      </c>
      <c r="BR54" s="62">
        <f t="shared" si="31"/>
        <v>369124.49390441622</v>
      </c>
      <c r="BS54" s="62">
        <f t="shared" si="31"/>
        <v>380198.22872154869</v>
      </c>
      <c r="BT54" s="62">
        <f t="shared" si="31"/>
        <v>391604.17558319517</v>
      </c>
      <c r="BU54" s="62">
        <f t="shared" si="31"/>
        <v>403352.30085069104</v>
      </c>
      <c r="BV54" s="62">
        <f t="shared" si="31"/>
        <v>415452.8698762118</v>
      </c>
      <c r="BW54" s="62">
        <f t="shared" si="31"/>
        <v>427916.45597249817</v>
      </c>
      <c r="BX54" s="62">
        <f t="shared" si="31"/>
        <v>440753.94965167315</v>
      </c>
      <c r="BY54" s="62">
        <f t="shared" si="31"/>
        <v>453976.56814122334</v>
      </c>
      <c r="BZ54" s="62">
        <f t="shared" si="31"/>
        <v>467595.86518546008</v>
      </c>
      <c r="CA54" s="62">
        <f t="shared" si="31"/>
        <v>481623.74114102387</v>
      </c>
      <c r="CB54" s="62">
        <f t="shared" si="31"/>
        <v>496072.45337525458</v>
      </c>
      <c r="CC54" s="62">
        <f t="shared" si="31"/>
        <v>510954.62697651226</v>
      </c>
      <c r="CD54" s="62">
        <f t="shared" si="31"/>
        <v>526283.26578580763</v>
      </c>
      <c r="CE54" s="62">
        <f t="shared" si="31"/>
        <v>542071.76375938184</v>
      </c>
      <c r="CF54" s="62">
        <f t="shared" ref="CF54:CH54" si="32">CE54*(1+$E$6)</f>
        <v>558333.91667216329</v>
      </c>
      <c r="CG54" s="62">
        <f t="shared" si="32"/>
        <v>575083.93417232821</v>
      </c>
      <c r="CH54" s="62">
        <f t="shared" si="32"/>
        <v>592336.45219749806</v>
      </c>
    </row>
    <row r="55" spans="1:86" x14ac:dyDescent="0.25">
      <c r="A55" s="1"/>
      <c r="B55" s="6"/>
      <c r="C55" s="21"/>
      <c r="D55" s="21"/>
      <c r="E55" s="21"/>
      <c r="F55" s="21"/>
      <c r="G55" s="21"/>
      <c r="H55" s="21"/>
      <c r="I55" s="12"/>
      <c r="J55" s="83"/>
      <c r="K55" s="83"/>
      <c r="L55" s="83"/>
      <c r="M55" s="83"/>
      <c r="N55" s="83"/>
      <c r="O55" s="83"/>
      <c r="P55" s="83"/>
      <c r="Q55" s="83"/>
      <c r="R55" s="84"/>
    </row>
    <row r="56" spans="1:86" x14ac:dyDescent="0.25">
      <c r="A56" s="1"/>
      <c r="B56" s="9" t="s">
        <v>27</v>
      </c>
      <c r="C56" s="23">
        <f>C52+C43+C46-C49</f>
        <v>-2882</v>
      </c>
      <c r="D56" s="23">
        <f t="shared" ref="D56:E56" si="33">D52+D43+D46-D49</f>
        <v>-588</v>
      </c>
      <c r="E56" s="23">
        <f t="shared" si="33"/>
        <v>1217</v>
      </c>
      <c r="F56" s="23">
        <f>F52+F43+F46-F49</f>
        <v>683</v>
      </c>
      <c r="G56" s="23">
        <f>G52+G43+G46-G49</f>
        <v>1735</v>
      </c>
      <c r="H56" s="23">
        <f>H52+H43+H46-H49</f>
        <v>13021</v>
      </c>
      <c r="I56" s="66">
        <f t="shared" ref="I56:R56" si="34">I52+I43+I46-I49</f>
        <v>7113.7258224880052</v>
      </c>
      <c r="J56" s="85">
        <f t="shared" si="34"/>
        <v>13184.983609517194</v>
      </c>
      <c r="K56" s="85">
        <f t="shared" si="34"/>
        <v>18299.436538780334</v>
      </c>
      <c r="L56" s="85">
        <f t="shared" si="34"/>
        <v>21542.672197387477</v>
      </c>
      <c r="M56" s="85">
        <f t="shared" si="34"/>
        <v>28815.409730974607</v>
      </c>
      <c r="N56" s="85">
        <f t="shared" si="34"/>
        <v>39142.584522434408</v>
      </c>
      <c r="O56" s="85">
        <f t="shared" si="34"/>
        <v>44682.479085645697</v>
      </c>
      <c r="P56" s="85">
        <f t="shared" si="34"/>
        <v>53578.897594790214</v>
      </c>
      <c r="Q56" s="85">
        <f t="shared" si="34"/>
        <v>69366.795022328355</v>
      </c>
      <c r="R56" s="85">
        <f t="shared" si="34"/>
        <v>79293.739054438629</v>
      </c>
    </row>
    <row r="57" spans="1:86" x14ac:dyDescent="0.25">
      <c r="A57" s="1"/>
      <c r="B57" s="24" t="s">
        <v>28</v>
      </c>
      <c r="C57" s="1"/>
      <c r="D57" s="1"/>
      <c r="E57" s="1"/>
      <c r="F57" s="1"/>
      <c r="G57" s="1"/>
      <c r="H57" s="1"/>
      <c r="I57" s="65">
        <f>I56/((1+$E$5)^I9)</f>
        <v>6361.31015093514</v>
      </c>
      <c r="J57" s="63">
        <f>J56/((1+$E$5)^J9)</f>
        <v>10543.346755078786</v>
      </c>
      <c r="K57" s="63">
        <f>K56/((1+$E$5)^K9)</f>
        <v>13085.371627290313</v>
      </c>
      <c r="L57" s="63">
        <f>L56/((1+$E$5)^L9)</f>
        <v>13775.182607795987</v>
      </c>
      <c r="M57" s="63">
        <f>M56/((1+$E$5)^M9)</f>
        <v>16476.768458515708</v>
      </c>
      <c r="N57" s="63">
        <f>N56/((1+$E$5)^N9)</f>
        <v>20014.566379964606</v>
      </c>
      <c r="O57" s="63">
        <f>O56/((1+$E$5)^O9)</f>
        <v>20430.707024545594</v>
      </c>
      <c r="P57" s="63">
        <f>P56/((1+$E$5)^P9)</f>
        <v>21907.325285966221</v>
      </c>
      <c r="Q57" s="63">
        <f>Q56/((1+$E$5)^Q9)</f>
        <v>25362.768649316582</v>
      </c>
      <c r="R57" s="63">
        <f>R56/((1+$E$5)^R9)</f>
        <v>25925.872224798877</v>
      </c>
    </row>
    <row r="58" spans="1:86" x14ac:dyDescent="0.25">
      <c r="A58" s="1"/>
      <c r="B58" s="25"/>
      <c r="C58" s="25"/>
      <c r="D58" s="25"/>
      <c r="E58" s="25"/>
      <c r="F58" s="25"/>
      <c r="G58" s="25"/>
      <c r="H58" s="25"/>
      <c r="I58" s="15"/>
      <c r="J58" s="1"/>
      <c r="K58" s="1"/>
      <c r="L58" s="1"/>
      <c r="M58" s="1"/>
      <c r="N58" s="1"/>
      <c r="O58" s="1"/>
      <c r="P58" s="1"/>
      <c r="Q58" s="1"/>
      <c r="R58" s="1"/>
    </row>
    <row r="59" spans="1:86" x14ac:dyDescent="0.25">
      <c r="A59" s="1"/>
      <c r="B59" s="1" t="s">
        <v>29</v>
      </c>
      <c r="C59" s="26">
        <f>(R56*(1+$E$6))/($E$5-$E$6)</f>
        <v>925153.65616200655</v>
      </c>
      <c r="D59" s="1"/>
      <c r="E59" s="1" t="s">
        <v>30</v>
      </c>
      <c r="F59" s="18">
        <f>NPV($E$5,I54:CH54)</f>
        <v>484156.03839332657</v>
      </c>
      <c r="G59" s="1"/>
      <c r="H59" s="1"/>
      <c r="I59" s="15"/>
      <c r="J59" s="1"/>
      <c r="K59" s="1"/>
      <c r="L59" s="1"/>
      <c r="M59" s="1"/>
      <c r="N59" s="1"/>
      <c r="O59" s="1"/>
      <c r="P59" s="1"/>
      <c r="Q59" s="1"/>
    </row>
    <row r="60" spans="1:86" x14ac:dyDescent="0.25">
      <c r="A60" s="1"/>
      <c r="B60" s="3" t="s">
        <v>31</v>
      </c>
      <c r="C60" s="27">
        <f>C59/((1+$E$5)^$R$9)</f>
        <v>302488.13795367448</v>
      </c>
      <c r="D60" s="16"/>
      <c r="E60" s="3"/>
      <c r="F60" s="3"/>
      <c r="G60" s="3"/>
      <c r="H60" s="16"/>
      <c r="I60" s="12"/>
      <c r="J60" s="1"/>
      <c r="L60" s="52" t="s">
        <v>52</v>
      </c>
      <c r="M60" s="53"/>
      <c r="N60" s="53"/>
      <c r="O60" s="53"/>
      <c r="P60" s="53"/>
      <c r="Q60" s="52"/>
    </row>
    <row r="61" spans="1:86" x14ac:dyDescent="0.25">
      <c r="A61" s="1"/>
      <c r="B61" s="6" t="s">
        <v>32</v>
      </c>
      <c r="C61" s="6"/>
      <c r="D61" s="1"/>
      <c r="E61" s="6"/>
      <c r="F61" s="6"/>
      <c r="G61" s="28" t="s">
        <v>33</v>
      </c>
      <c r="H61" s="28" t="s">
        <v>30</v>
      </c>
      <c r="I61" s="15"/>
      <c r="J61" s="1"/>
      <c r="K61" s="52"/>
      <c r="L61" s="54">
        <f>D67</f>
        <v>137.3375714404857</v>
      </c>
      <c r="M61" s="55">
        <v>-0.03</v>
      </c>
      <c r="N61" s="55">
        <v>-0.01</v>
      </c>
      <c r="O61" s="55">
        <v>0.03</v>
      </c>
      <c r="P61" s="55">
        <v>0.03</v>
      </c>
      <c r="Q61" s="55">
        <v>0.05</v>
      </c>
    </row>
    <row r="62" spans="1:86" x14ac:dyDescent="0.25">
      <c r="A62" s="1"/>
      <c r="B62" s="29" t="s">
        <v>34</v>
      </c>
      <c r="C62" s="1"/>
      <c r="D62" s="22">
        <v>22402</v>
      </c>
      <c r="E62" s="1"/>
      <c r="F62" s="1"/>
      <c r="G62" s="26">
        <f>C60+SUM(I57:R57)</f>
        <v>476371.35711788229</v>
      </c>
      <c r="H62" s="18">
        <f>F59</f>
        <v>484156.03839332657</v>
      </c>
      <c r="I62" s="15"/>
      <c r="J62" s="1"/>
      <c r="K62" s="52"/>
      <c r="L62" s="56">
        <f>L63-2%</f>
        <v>7.8279985364690441E-2</v>
      </c>
      <c r="M62" s="57">
        <f t="dataTable" ref="M62:Q66" dt2D="1" dtr="1" r1="E6" r2="E5"/>
        <v>160.44485891207506</v>
      </c>
      <c r="N62" s="57">
        <v>184.58786108150755</v>
      </c>
      <c r="O62" s="57">
        <v>288.61496352097873</v>
      </c>
      <c r="P62" s="57">
        <v>288.61496352097873</v>
      </c>
      <c r="Q62" s="57">
        <v>430.94347060623795</v>
      </c>
    </row>
    <row r="63" spans="1:86" x14ac:dyDescent="0.25">
      <c r="A63" s="1"/>
      <c r="B63" s="30" t="s">
        <v>35</v>
      </c>
      <c r="C63" s="3"/>
      <c r="D63" s="78">
        <f>15904+7321+1750+1404</f>
        <v>26379</v>
      </c>
      <c r="E63" s="3"/>
      <c r="F63" s="3"/>
      <c r="G63" s="3"/>
      <c r="H63" s="3"/>
      <c r="I63" s="15"/>
      <c r="J63" s="1"/>
      <c r="K63" s="53"/>
      <c r="L63" s="56">
        <f>L64-2%</f>
        <v>9.8279985364690445E-2</v>
      </c>
      <c r="M63" s="57">
        <v>124.32911735468841</v>
      </c>
      <c r="N63" s="58">
        <v>138.46769855917998</v>
      </c>
      <c r="O63" s="58">
        <v>190.87358121127224</v>
      </c>
      <c r="P63" s="58">
        <v>190.87358121127224</v>
      </c>
      <c r="Q63" s="57">
        <v>246.84106115893903</v>
      </c>
    </row>
    <row r="64" spans="1:86" x14ac:dyDescent="0.25">
      <c r="A64" s="1"/>
      <c r="B64" s="6" t="s">
        <v>36</v>
      </c>
      <c r="C64" s="6"/>
      <c r="D64" s="6"/>
      <c r="E64" s="6"/>
      <c r="F64" s="6"/>
      <c r="G64" s="31">
        <f>(G62+D62-D63)</f>
        <v>472394.35711788229</v>
      </c>
      <c r="H64" s="32">
        <f>(H62+D62-D63)</f>
        <v>480179.03839332657</v>
      </c>
      <c r="I64" s="15"/>
      <c r="J64"/>
      <c r="K64" s="52" t="s">
        <v>1</v>
      </c>
      <c r="L64" s="59">
        <v>0.11827998536469045</v>
      </c>
      <c r="M64" s="57">
        <v>99.16244344588452</v>
      </c>
      <c r="N64" s="58">
        <v>107.95082622150215</v>
      </c>
      <c r="O64" s="60">
        <v>137.3375714404857</v>
      </c>
      <c r="P64" s="58">
        <v>137.3375714404857</v>
      </c>
      <c r="Q64" s="57">
        <v>164.45814576137627</v>
      </c>
    </row>
    <row r="65" spans="1:17" x14ac:dyDescent="0.25">
      <c r="A65" s="1"/>
      <c r="B65" s="3" t="s">
        <v>37</v>
      </c>
      <c r="C65" s="3"/>
      <c r="D65" s="36">
        <v>3468</v>
      </c>
      <c r="E65" s="3"/>
      <c r="F65" s="3"/>
      <c r="G65" s="3"/>
      <c r="H65" s="3"/>
      <c r="I65" s="15"/>
      <c r="J65" s="1"/>
      <c r="K65" s="52"/>
      <c r="L65" s="61">
        <f>L64+2%</f>
        <v>0.13827998536469044</v>
      </c>
      <c r="M65" s="57">
        <v>80.88741953188439</v>
      </c>
      <c r="N65" s="58">
        <v>86.601388212585832</v>
      </c>
      <c r="O65" s="58">
        <v>104.33390769462653</v>
      </c>
      <c r="P65" s="58">
        <v>104.33390769462653</v>
      </c>
      <c r="Q65" s="57">
        <v>119.13217199649493</v>
      </c>
    </row>
    <row r="66" spans="1:17" x14ac:dyDescent="0.25">
      <c r="A66" s="1"/>
      <c r="B66" s="17" t="s">
        <v>38</v>
      </c>
      <c r="C66" s="17"/>
      <c r="D66" s="17">
        <f>D65*$J$5</f>
        <v>581028.72</v>
      </c>
      <c r="E66" s="17"/>
      <c r="F66" s="17"/>
      <c r="G66" s="17"/>
      <c r="H66" s="33"/>
      <c r="I66" s="1"/>
      <c r="J66" s="1"/>
      <c r="K66" s="52"/>
      <c r="L66" s="61">
        <f>L65+2%</f>
        <v>0.15827998536469043</v>
      </c>
      <c r="M66" s="57">
        <v>67.188565570784348</v>
      </c>
      <c r="N66" s="57">
        <v>71.036244538092234</v>
      </c>
      <c r="O66" s="57">
        <v>82.324885129683963</v>
      </c>
      <c r="P66" s="57">
        <v>82.324885129683963</v>
      </c>
      <c r="Q66" s="57">
        <v>91.077133052670987</v>
      </c>
    </row>
    <row r="67" spans="1:17" x14ac:dyDescent="0.25">
      <c r="A67" s="1"/>
      <c r="B67" s="6" t="s">
        <v>39</v>
      </c>
      <c r="C67" s="6" t="s">
        <v>40</v>
      </c>
      <c r="D67" s="34">
        <f>(G67+H67)/2</f>
        <v>137.3375714404857</v>
      </c>
      <c r="F67" s="6"/>
      <c r="G67" s="34">
        <f>G64/D65</f>
        <v>136.21521254840897</v>
      </c>
      <c r="H67" s="34">
        <f>H64/D65</f>
        <v>138.45993033256244</v>
      </c>
      <c r="I67" s="15"/>
      <c r="J67" s="1"/>
    </row>
    <row r="68" spans="1:17" x14ac:dyDescent="0.25">
      <c r="A68"/>
      <c r="C68" s="1"/>
      <c r="D6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H10" sqref="H10"/>
    </sheetView>
  </sheetViews>
  <sheetFormatPr defaultRowHeight="15" x14ac:dyDescent="0.25"/>
  <cols>
    <col min="3" max="3" width="11.5703125" customWidth="1"/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8" t="s">
        <v>1</v>
      </c>
      <c r="C2" s="2"/>
      <c r="D2" s="2"/>
      <c r="E2" s="2"/>
      <c r="F2" s="2"/>
      <c r="G2" s="2"/>
      <c r="H2" s="2"/>
      <c r="I2" s="2"/>
      <c r="J2" s="2"/>
      <c r="K2" s="2"/>
      <c r="L2" s="39"/>
    </row>
    <row r="3" spans="1:14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2"/>
    </row>
    <row r="4" spans="1:14" x14ac:dyDescent="0.25">
      <c r="A4" s="41" t="s">
        <v>42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2">
        <f>'TSLA DCF'!I40</f>
        <v>0.11899999999999999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2">
        <v>5.3999999999999999E-2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3">
        <v>1.53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2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6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2">
        <f>'TSLA DCF'!D66</f>
        <v>581028.72</v>
      </c>
      <c r="D12" s="2"/>
      <c r="E12" s="2" t="s">
        <v>35</v>
      </c>
      <c r="F12" s="2"/>
      <c r="G12" s="22">
        <f>'TSLA DCF'!D63</f>
        <v>26379</v>
      </c>
      <c r="H12" s="2"/>
      <c r="I12" s="2" t="s">
        <v>47</v>
      </c>
      <c r="J12" s="2"/>
      <c r="K12" s="22">
        <f>G12+C12</f>
        <v>607407.72</v>
      </c>
      <c r="L12" s="2"/>
    </row>
    <row r="13" spans="1:14" x14ac:dyDescent="0.25">
      <c r="A13" s="2" t="s">
        <v>48</v>
      </c>
      <c r="B13" s="2"/>
      <c r="C13" s="44">
        <f>C12/K12</f>
        <v>0.95657118088653859</v>
      </c>
      <c r="D13" s="2"/>
      <c r="E13" s="2" t="s">
        <v>49</v>
      </c>
      <c r="F13" s="2"/>
      <c r="G13" s="45">
        <f>G12/K12</f>
        <v>4.3428819113461387E-2</v>
      </c>
      <c r="H13" s="2"/>
      <c r="I13" s="2"/>
      <c r="J13" s="2"/>
      <c r="K13" s="2"/>
      <c r="L13" s="2"/>
      <c r="M13" s="36"/>
    </row>
    <row r="14" spans="1:14" x14ac:dyDescent="0.25">
      <c r="A14" s="2" t="s">
        <v>50</v>
      </c>
      <c r="B14" s="2"/>
      <c r="C14" s="46">
        <f>D7+D8*(D9)</f>
        <v>0.12284999999999999</v>
      </c>
      <c r="D14" s="2"/>
      <c r="E14" s="2" t="s">
        <v>51</v>
      </c>
      <c r="F14" s="2"/>
      <c r="G14" s="47">
        <v>0.02</v>
      </c>
      <c r="H14" s="2"/>
      <c r="I14" s="48" t="s">
        <v>1</v>
      </c>
      <c r="J14" s="49"/>
      <c r="K14" s="70">
        <f>C13*C14+G14*G13*(1-D6)</f>
        <v>0.11827998536469045</v>
      </c>
      <c r="L14" s="2"/>
    </row>
    <row r="15" spans="1:14" x14ac:dyDescent="0.25">
      <c r="D15" s="36"/>
      <c r="G15" s="36"/>
      <c r="J15" s="36"/>
      <c r="M15" s="36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6"/>
      <c r="G17" s="36"/>
      <c r="J17" s="36"/>
      <c r="M17" s="36"/>
    </row>
    <row r="21" spans="4:13" x14ac:dyDescent="0.25">
      <c r="D21" s="36"/>
      <c r="E21" s="36"/>
      <c r="F21" s="36"/>
      <c r="G21" s="36"/>
      <c r="H21" s="36"/>
      <c r="I21" s="36"/>
      <c r="J21" s="36"/>
      <c r="K21" s="36"/>
      <c r="L21" s="36"/>
      <c r="M21" s="3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C471E9-7A90-4972-BBDB-AEF67D9678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TSLA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2023-05-11T15:01:54Z</dcterms:modified>
</cp:coreProperties>
</file>