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13_ncr:1_{A9CE3146-38D5-4FFC-BB29-462146D34160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PDD DCF" sheetId="1" r:id="rId1"/>
    <sheet name="Raw IS" sheetId="3" r:id="rId2"/>
    <sheet name="Raw CF" sheetId="4" r:id="rId3"/>
    <sheet name="WACC" sheetId="2" r:id="rId4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0" i="1" l="1"/>
  <c r="L69" i="1"/>
  <c r="L66" i="1"/>
  <c r="L67" i="1"/>
  <c r="D70" i="1"/>
  <c r="C12" i="2" s="1"/>
  <c r="D69" i="1"/>
  <c r="D67" i="1"/>
  <c r="D66" i="1"/>
  <c r="H56" i="1"/>
  <c r="H58" i="1"/>
  <c r="H60" i="1"/>
  <c r="J47" i="1"/>
  <c r="I47" i="1"/>
  <c r="H44" i="1"/>
  <c r="G44" i="1"/>
  <c r="J35" i="1"/>
  <c r="I35" i="1"/>
  <c r="J11" i="1"/>
  <c r="K11" i="1"/>
  <c r="L11" i="1" s="1"/>
  <c r="M11" i="1" s="1"/>
  <c r="N11" i="1" s="1"/>
  <c r="O11" i="1" s="1"/>
  <c r="P11" i="1" s="1"/>
  <c r="Q11" i="1" s="1"/>
  <c r="R11" i="1" s="1"/>
  <c r="R47" i="1" s="1"/>
  <c r="I11" i="1"/>
  <c r="D56" i="1"/>
  <c r="E56" i="1"/>
  <c r="F56" i="1"/>
  <c r="G56" i="1"/>
  <c r="C56" i="1"/>
  <c r="G53" i="1"/>
  <c r="H53" i="1"/>
  <c r="F53" i="1"/>
  <c r="D53" i="1"/>
  <c r="E53" i="1"/>
  <c r="C53" i="1"/>
  <c r="G50" i="1"/>
  <c r="H50" i="1"/>
  <c r="F50" i="1"/>
  <c r="D50" i="1"/>
  <c r="E50" i="1"/>
  <c r="C50" i="1"/>
  <c r="G47" i="1"/>
  <c r="H47" i="1"/>
  <c r="F47" i="1"/>
  <c r="D47" i="1"/>
  <c r="E47" i="1"/>
  <c r="C47" i="1"/>
  <c r="G57" i="1"/>
  <c r="H57" i="1"/>
  <c r="F57" i="1"/>
  <c r="E57" i="1"/>
  <c r="D58" i="1"/>
  <c r="E58" i="1"/>
  <c r="F58" i="1"/>
  <c r="G58" i="1"/>
  <c r="C58" i="1"/>
  <c r="H43" i="1"/>
  <c r="G43" i="1"/>
  <c r="D38" i="1"/>
  <c r="E38" i="1"/>
  <c r="F38" i="1"/>
  <c r="G38" i="1"/>
  <c r="H38" i="1"/>
  <c r="C38" i="1"/>
  <c r="D36" i="1"/>
  <c r="E36" i="1"/>
  <c r="F36" i="1"/>
  <c r="G36" i="1"/>
  <c r="H36" i="1"/>
  <c r="C36" i="1"/>
  <c r="G35" i="1"/>
  <c r="H35" i="1"/>
  <c r="F35" i="1"/>
  <c r="D35" i="1"/>
  <c r="E35" i="1"/>
  <c r="C35" i="1"/>
  <c r="C28" i="1"/>
  <c r="G25" i="1"/>
  <c r="H25" i="1"/>
  <c r="F25" i="1"/>
  <c r="D25" i="1"/>
  <c r="E25" i="1"/>
  <c r="C25" i="1"/>
  <c r="G22" i="1"/>
  <c r="H22" i="1"/>
  <c r="F22" i="1"/>
  <c r="D22" i="1"/>
  <c r="E22" i="1"/>
  <c r="C22" i="1"/>
  <c r="G19" i="1"/>
  <c r="H19" i="1"/>
  <c r="F19" i="1"/>
  <c r="D19" i="1"/>
  <c r="E19" i="1"/>
  <c r="C19" i="1"/>
  <c r="C31" i="1" s="1"/>
  <c r="G14" i="1"/>
  <c r="H14" i="1"/>
  <c r="F14" i="1"/>
  <c r="G16" i="1"/>
  <c r="D11" i="1"/>
  <c r="E11" i="1"/>
  <c r="E16" i="1" s="1"/>
  <c r="C11" i="1"/>
  <c r="D14" i="1"/>
  <c r="E14" i="1"/>
  <c r="C14" i="1"/>
  <c r="C16" i="1" s="1"/>
  <c r="C34" i="1" s="1"/>
  <c r="G11" i="1"/>
  <c r="H11" i="1"/>
  <c r="H16" i="1" s="1"/>
  <c r="F11" i="1"/>
  <c r="F16" i="1" s="1"/>
  <c r="Q35" i="1" l="1"/>
  <c r="O35" i="1"/>
  <c r="M35" i="1"/>
  <c r="K35" i="1"/>
  <c r="Q47" i="1"/>
  <c r="O47" i="1"/>
  <c r="M47" i="1"/>
  <c r="K47" i="1"/>
  <c r="R35" i="1"/>
  <c r="P35" i="1"/>
  <c r="N35" i="1"/>
  <c r="L35" i="1"/>
  <c r="P47" i="1"/>
  <c r="N47" i="1"/>
  <c r="L47" i="1"/>
  <c r="G34" i="1"/>
  <c r="D16" i="1"/>
  <c r="D29" i="1"/>
  <c r="E29" i="1"/>
  <c r="F29" i="1"/>
  <c r="G29" i="1"/>
  <c r="H29" i="1"/>
  <c r="C29" i="1"/>
  <c r="D26" i="1"/>
  <c r="E26" i="1"/>
  <c r="F26" i="1"/>
  <c r="G26" i="1"/>
  <c r="H26" i="1"/>
  <c r="C26" i="1"/>
  <c r="D23" i="1"/>
  <c r="E23" i="1"/>
  <c r="F23" i="1"/>
  <c r="G23" i="1"/>
  <c r="H23" i="1"/>
  <c r="C23" i="1"/>
  <c r="D20" i="1"/>
  <c r="E20" i="1"/>
  <c r="F20" i="1"/>
  <c r="G20" i="1"/>
  <c r="H20" i="1"/>
  <c r="C20" i="1"/>
  <c r="C14" i="2"/>
  <c r="G12" i="2"/>
  <c r="F51" i="1"/>
  <c r="G51" i="1"/>
  <c r="H51" i="1"/>
  <c r="E51" i="1"/>
  <c r="D51" i="1"/>
  <c r="C51" i="1"/>
  <c r="E48" i="1"/>
  <c r="D48" i="1"/>
  <c r="C48" i="1"/>
  <c r="F48" i="1"/>
  <c r="H48" i="1"/>
  <c r="F31" i="1"/>
  <c r="F32" i="1" s="1"/>
  <c r="E31" i="1"/>
  <c r="E34" i="1" s="1"/>
  <c r="D31" i="1"/>
  <c r="D32" i="1" s="1"/>
  <c r="G54" i="1"/>
  <c r="H54" i="1"/>
  <c r="G48" i="1"/>
  <c r="H31" i="1"/>
  <c r="H32" i="1" s="1"/>
  <c r="G31" i="1"/>
  <c r="G17" i="1"/>
  <c r="E54" i="1"/>
  <c r="D54" i="1"/>
  <c r="C54" i="1"/>
  <c r="D46" i="1"/>
  <c r="E46" i="1" s="1"/>
  <c r="E17" i="1"/>
  <c r="H12" i="1"/>
  <c r="G12" i="1"/>
  <c r="F12" i="1"/>
  <c r="E12" i="1"/>
  <c r="D12" i="1"/>
  <c r="J9" i="1"/>
  <c r="K9" i="1" s="1"/>
  <c r="L9" i="1" s="1"/>
  <c r="M9" i="1" s="1"/>
  <c r="N9" i="1" s="1"/>
  <c r="O9" i="1" s="1"/>
  <c r="P9" i="1" s="1"/>
  <c r="Q9" i="1" s="1"/>
  <c r="R9" i="1" s="1"/>
  <c r="I28" i="1" l="1"/>
  <c r="H34" i="1"/>
  <c r="I22" i="1"/>
  <c r="D34" i="1"/>
  <c r="F34" i="1"/>
  <c r="I19" i="1"/>
  <c r="I25" i="1"/>
  <c r="C17" i="1"/>
  <c r="I40" i="1"/>
  <c r="I53" i="1"/>
  <c r="I60" i="1" s="1"/>
  <c r="F54" i="1"/>
  <c r="K12" i="2"/>
  <c r="I16" i="1"/>
  <c r="D40" i="1"/>
  <c r="D17" i="1"/>
  <c r="H17" i="1"/>
  <c r="F17" i="1"/>
  <c r="C32" i="1"/>
  <c r="E32" i="1"/>
  <c r="G32" i="1"/>
  <c r="I31" i="1" l="1"/>
  <c r="I34" i="1" s="1"/>
  <c r="I38" i="1" s="1"/>
  <c r="D60" i="1"/>
  <c r="I32" i="1"/>
  <c r="H40" i="1"/>
  <c r="I14" i="1"/>
  <c r="I43" i="1"/>
  <c r="I56" i="1" s="1"/>
  <c r="C13" i="2"/>
  <c r="G13" i="2"/>
  <c r="F40" i="1"/>
  <c r="F44" i="1" s="1"/>
  <c r="G40" i="1"/>
  <c r="E40" i="1"/>
  <c r="C40" i="1"/>
  <c r="D44" i="1"/>
  <c r="D41" i="1"/>
  <c r="I58" i="1" l="1"/>
  <c r="F60" i="1"/>
  <c r="E60" i="1"/>
  <c r="C60" i="1"/>
  <c r="F41" i="1"/>
  <c r="H41" i="1"/>
  <c r="G60" i="1"/>
  <c r="K14" i="2"/>
  <c r="E5" i="1" s="1"/>
  <c r="G41" i="1"/>
  <c r="C44" i="1"/>
  <c r="C41" i="1"/>
  <c r="E44" i="1"/>
  <c r="E41" i="1"/>
  <c r="J19" i="1" l="1"/>
  <c r="J40" i="1"/>
  <c r="J43" i="1" s="1"/>
  <c r="J16" i="1"/>
  <c r="J22" i="1"/>
  <c r="J53" i="1"/>
  <c r="J14" i="1"/>
  <c r="J25" i="1"/>
  <c r="J28" i="1"/>
  <c r="J31" i="1" l="1"/>
  <c r="J34" i="1" s="1"/>
  <c r="J38" i="1" s="1"/>
  <c r="J58" i="1" s="1"/>
  <c r="J56" i="1"/>
  <c r="K16" i="1"/>
  <c r="K19" i="1"/>
  <c r="K40" i="1"/>
  <c r="K28" i="1"/>
  <c r="K14" i="1"/>
  <c r="K25" i="1"/>
  <c r="K22" i="1"/>
  <c r="K53" i="1"/>
  <c r="J32" i="1" l="1"/>
  <c r="K31" i="1"/>
  <c r="K34" i="1" s="1"/>
  <c r="K38" i="1" s="1"/>
  <c r="K43" i="1"/>
  <c r="K56" i="1" s="1"/>
  <c r="L16" i="1"/>
  <c r="L14" i="1" s="1"/>
  <c r="L40" i="1"/>
  <c r="L43" i="1" s="1"/>
  <c r="L28" i="1"/>
  <c r="L22" i="1"/>
  <c r="L53" i="1"/>
  <c r="L25" i="1"/>
  <c r="L19" i="1"/>
  <c r="K32" i="1" l="1"/>
  <c r="L31" i="1"/>
  <c r="L56" i="1"/>
  <c r="K58" i="1"/>
  <c r="M16" i="1"/>
  <c r="M14" i="1" s="1"/>
  <c r="M19" i="1"/>
  <c r="M25" i="1"/>
  <c r="M53" i="1"/>
  <c r="M28" i="1"/>
  <c r="M22" i="1"/>
  <c r="M40" i="1"/>
  <c r="M43" i="1" s="1"/>
  <c r="M56" i="1" s="1"/>
  <c r="L32" i="1" l="1"/>
  <c r="L34" i="1"/>
  <c r="L38" i="1" s="1"/>
  <c r="L58" i="1" s="1"/>
  <c r="M31" i="1"/>
  <c r="N40" i="1"/>
  <c r="N43" i="1" s="1"/>
  <c r="N19" i="1"/>
  <c r="N22" i="1"/>
  <c r="N31" i="1" s="1"/>
  <c r="N53" i="1"/>
  <c r="N28" i="1"/>
  <c r="N25" i="1"/>
  <c r="N16" i="1"/>
  <c r="N32" i="1" l="1"/>
  <c r="N34" i="1"/>
  <c r="N38" i="1" s="1"/>
  <c r="N58" i="1" s="1"/>
  <c r="M34" i="1"/>
  <c r="M38" i="1" s="1"/>
  <c r="M58" i="1" s="1"/>
  <c r="M32" i="1"/>
  <c r="N56" i="1"/>
  <c r="N14" i="1"/>
  <c r="O40" i="1"/>
  <c r="O43" i="1" s="1"/>
  <c r="O19" i="1"/>
  <c r="O28" i="1"/>
  <c r="O53" i="1"/>
  <c r="O22" i="1"/>
  <c r="O25" i="1"/>
  <c r="O16" i="1"/>
  <c r="O31" i="1" l="1"/>
  <c r="O14" i="1"/>
  <c r="O56" i="1"/>
  <c r="P16" i="1"/>
  <c r="P19" i="1"/>
  <c r="P28" i="1"/>
  <c r="P25" i="1"/>
  <c r="P22" i="1"/>
  <c r="P53" i="1"/>
  <c r="P14" i="1"/>
  <c r="P40" i="1"/>
  <c r="O32" i="1" l="1"/>
  <c r="O34" i="1"/>
  <c r="O38" i="1" s="1"/>
  <c r="O58" i="1" s="1"/>
  <c r="P31" i="1"/>
  <c r="P43" i="1"/>
  <c r="P56" i="1" s="1"/>
  <c r="P32" i="1" l="1"/>
  <c r="P34" i="1"/>
  <c r="P38" i="1" s="1"/>
  <c r="P58" i="1" s="1"/>
  <c r="Q19" i="1"/>
  <c r="Q28" i="1"/>
  <c r="Q22" i="1"/>
  <c r="Q25" i="1"/>
  <c r="Q53" i="1"/>
  <c r="Q40" i="1"/>
  <c r="Q16" i="1"/>
  <c r="Q14" i="1" s="1"/>
  <c r="Q31" i="1" l="1"/>
  <c r="Q43" i="1"/>
  <c r="Q56" i="1" s="1"/>
  <c r="R19" i="1"/>
  <c r="R25" i="1"/>
  <c r="R53" i="1"/>
  <c r="R28" i="1"/>
  <c r="R22" i="1"/>
  <c r="R16" i="1"/>
  <c r="R14" i="1" s="1"/>
  <c r="R40" i="1"/>
  <c r="R31" i="1" l="1"/>
  <c r="Q32" i="1"/>
  <c r="Q34" i="1"/>
  <c r="Q38" i="1" s="1"/>
  <c r="Q58" i="1" s="1"/>
  <c r="R43" i="1"/>
  <c r="R56" i="1" s="1"/>
  <c r="R32" i="1" l="1"/>
  <c r="R34" i="1"/>
  <c r="R38" i="1" s="1"/>
  <c r="R58" i="1" s="1"/>
  <c r="S58" i="1" l="1"/>
  <c r="T58" i="1" s="1"/>
  <c r="U58" i="1" s="1"/>
  <c r="V58" i="1" s="1"/>
  <c r="W58" i="1" s="1"/>
  <c r="X58" i="1" s="1"/>
  <c r="Y58" i="1" s="1"/>
  <c r="Z58" i="1" s="1"/>
  <c r="AA58" i="1" s="1"/>
  <c r="AB58" i="1" s="1"/>
  <c r="AC58" i="1" s="1"/>
  <c r="AD58" i="1" s="1"/>
  <c r="AE58" i="1" s="1"/>
  <c r="AF58" i="1" s="1"/>
  <c r="AG58" i="1" s="1"/>
  <c r="AH58" i="1" s="1"/>
  <c r="AI58" i="1" s="1"/>
  <c r="AJ58" i="1" s="1"/>
  <c r="AK58" i="1" s="1"/>
  <c r="AL58" i="1" s="1"/>
  <c r="AM58" i="1" s="1"/>
  <c r="AN58" i="1" s="1"/>
  <c r="AO58" i="1" s="1"/>
  <c r="AP58" i="1" s="1"/>
  <c r="AQ58" i="1" s="1"/>
  <c r="AR58" i="1" s="1"/>
  <c r="AS58" i="1" s="1"/>
  <c r="AT58" i="1" s="1"/>
  <c r="AU58" i="1" s="1"/>
  <c r="AV58" i="1" s="1"/>
  <c r="AW58" i="1" s="1"/>
  <c r="AX58" i="1" s="1"/>
  <c r="AY58" i="1" s="1"/>
  <c r="AZ58" i="1" s="1"/>
  <c r="BA58" i="1" s="1"/>
  <c r="BB58" i="1" s="1"/>
  <c r="BC58" i="1" s="1"/>
  <c r="BD58" i="1" s="1"/>
  <c r="BE58" i="1" s="1"/>
  <c r="BF58" i="1" s="1"/>
  <c r="BG58" i="1" s="1"/>
  <c r="BH58" i="1" s="1"/>
  <c r="BI58" i="1" s="1"/>
  <c r="BJ58" i="1" s="1"/>
  <c r="BK58" i="1" s="1"/>
  <c r="BL58" i="1" s="1"/>
  <c r="BM58" i="1" s="1"/>
  <c r="BN58" i="1" s="1"/>
  <c r="BO58" i="1" s="1"/>
  <c r="BP58" i="1" s="1"/>
  <c r="BQ58" i="1" s="1"/>
  <c r="BR58" i="1" s="1"/>
  <c r="BS58" i="1" s="1"/>
  <c r="BT58" i="1" s="1"/>
  <c r="BU58" i="1" s="1"/>
  <c r="BV58" i="1" s="1"/>
  <c r="BW58" i="1" s="1"/>
  <c r="BX58" i="1" s="1"/>
  <c r="BY58" i="1" s="1"/>
  <c r="BZ58" i="1" s="1"/>
  <c r="CA58" i="1" s="1"/>
  <c r="CB58" i="1" s="1"/>
  <c r="CC58" i="1" s="1"/>
  <c r="CD58" i="1" s="1"/>
  <c r="CE58" i="1" s="1"/>
  <c r="CF58" i="1" s="1"/>
  <c r="CG58" i="1" s="1"/>
  <c r="CH58" i="1" s="1"/>
  <c r="F63" i="1" s="1"/>
  <c r="H66" i="1" s="1"/>
  <c r="H68" i="1" s="1"/>
  <c r="H71" i="1" s="1"/>
  <c r="I51" i="1"/>
  <c r="I61" i="1"/>
  <c r="J51" i="1"/>
  <c r="J60" i="1"/>
  <c r="J61" i="1" s="1"/>
  <c r="K60" i="1"/>
  <c r="K61" i="1" s="1"/>
  <c r="K51" i="1"/>
  <c r="L51" i="1"/>
  <c r="L60" i="1"/>
  <c r="L61" i="1" s="1"/>
  <c r="M51" i="1"/>
  <c r="M60" i="1"/>
  <c r="M61" i="1" s="1"/>
  <c r="N60" i="1"/>
  <c r="N61" i="1" s="1"/>
  <c r="N51" i="1"/>
  <c r="O51" i="1"/>
  <c r="O60" i="1"/>
  <c r="O61" i="1" s="1"/>
  <c r="P60" i="1"/>
  <c r="P61" i="1" s="1"/>
  <c r="P51" i="1"/>
  <c r="Q51" i="1"/>
  <c r="Q60" i="1"/>
  <c r="Q61" i="1" s="1"/>
  <c r="R51" i="1"/>
  <c r="R60" i="1"/>
  <c r="R61" i="1" s="1"/>
  <c r="C63" i="1" l="1"/>
  <c r="C64" i="1" s="1"/>
  <c r="G66" i="1" s="1"/>
  <c r="G68" i="1" s="1"/>
  <c r="G71" i="1" l="1"/>
  <c r="D71" i="1" s="1"/>
  <c r="J6" i="1" s="1"/>
  <c r="N5" i="1" l="1"/>
  <c r="L65" i="1"/>
</calcChain>
</file>

<file path=xl/sharedStrings.xml><?xml version="1.0" encoding="utf-8"?>
<sst xmlns="http://schemas.openxmlformats.org/spreadsheetml/2006/main" count="682" uniqueCount="206">
  <si>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</si>
  <si>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</si>
  <si>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</si>
  <si>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</si>
  <si>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</si>
  <si>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</si>
  <si>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</si>
  <si>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</si>
  <si>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</si>
  <si>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</si>
  <si>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</si>
  <si>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</si>
  <si>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R&amp;D</t>
  </si>
  <si>
    <t>S&amp;M</t>
  </si>
  <si>
    <t>G&amp;A</t>
  </si>
  <si>
    <t xml:space="preserve">Other </t>
  </si>
  <si>
    <t>Opex</t>
  </si>
  <si>
    <t>Operating income</t>
  </si>
  <si>
    <t>Other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</si>
  <si>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</si>
  <si>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</si>
  <si>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</si>
  <si>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</si>
  <si>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</si>
  <si>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</si>
  <si>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</si>
  <si>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</si>
  <si>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</si>
  <si>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</si>
  <si>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</si>
  <si>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</si>
  <si>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</si>
  <si>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</si>
  <si>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</si>
  <si>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</si>
  <si>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</si>
  <si>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</si>
  <si>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</si>
  <si>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</si>
  <si>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</si>
  <si>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</si>
  <si>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</si>
  <si>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</si>
  <si>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</si>
  <si>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</si>
  <si>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</si>
  <si>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</si>
  <si>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</si>
  <si>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</si>
  <si>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</si>
  <si>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</si>
  <si>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</si>
  <si>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</si>
  <si>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</si>
  <si>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</si>
  <si>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>USD/CNY</t>
  </si>
  <si>
    <t>Cross Rate</t>
  </si>
  <si>
    <t xml:space="preserve">                                             Terminal Growth Rate</t>
  </si>
  <si>
    <t>Last update</t>
  </si>
  <si>
    <t>For the years ended December 31,</t>
  </si>
  <si>
    <t>Notes</t>
  </si>
  <si>
    <t>2022</t>
  </si>
  <si>
    <t>RMB</t>
  </si>
  <si>
    <t>Revenues (including services provided to a related party of nil, nil and RMB10,765 (US$1,561) for the years ended December 31, 2020, 2021 and 2022, respectively)</t>
  </si>
  <si>
    <t>Costs of revenues (including services received from related parties of RMB4,570,292, RMB5,166,381 and RMB5,353,661 (US$776,208) for the years ended December 31, 2020, 2021 and 2022, respectively)</t>
  </si>
  <si>
    <t>Gross profit</t>
  </si>
  <si>
    <t>Sales and marketing expenses (including services received from a related party of RMB4,166,230, RMB2,857,063 and RMB2,004,654 (US$290,648) for the years ended December 31, 2020, 2021 and 2022, respectively)</t>
  </si>
  <si>
    <t>General and administrative expenses</t>
  </si>
  <si>
    <t>Research and development expenses (including services received from related parties of RMB1,850,321, RMB604,605 and RMB356,789   (US $51,730) for the years ended December 31, 2020, 2021 and 2022, respectively)</t>
  </si>
  <si>
    <t>Total operating expenses</t>
  </si>
  <si>
    <t>Operating (loss)/profit</t>
  </si>
  <si>
    <t>Interest and investment income, net</t>
  </si>
  <si>
    <t>Interest expenses</t>
  </si>
  <si>
    <t>Foreign exchange gain/(loss)</t>
  </si>
  <si>
    <t>Other income, net</t>
  </si>
  <si>
    <t>(Loss)/profit before income tax and share of results of equity investees</t>
  </si>
  <si>
    <t>Income tax expenses</t>
  </si>
  <si>
    <t>—</t>
  </si>
  <si>
    <t>Share of results of equity investees</t>
  </si>
  <si>
    <t>Net (loss)/income</t>
  </si>
  <si>
    <t>Net (loss)/income attributable to ordinary shareholders</t>
  </si>
  <si>
    <t>(Loss)/earnings per share:</t>
  </si>
  <si>
    <t>Basic</t>
  </si>
  <si>
    <t>Diluted</t>
  </si>
  <si>
    <t>Shares used in (loss)/earnings per share computation:</t>
  </si>
  <si>
    <t>CASH FLOW FROM OPERATING ACTIVITIES</t>
  </si>
  <si>
    <t>Adjustments to reconcile net (loss)/income to net cash provided by operating activities:</t>
  </si>
  <si>
    <t>Interest expense</t>
  </si>
  <si>
    <t>Allowance for credit losses</t>
  </si>
  <si>
    <t>Depreciation and amortization</t>
  </si>
  <si>
    <t>Deferred income tax, net</t>
  </si>
  <si>
    <t>Amortization of right-of-use assets</t>
  </si>
  <si>
    <t>Interest and investment gain, net</t>
  </si>
  <si>
    <t>Loss/(gain) on disposal of property and equipment</t>
  </si>
  <si>
    <t>Share-based compensation</t>
  </si>
  <si>
    <t>Foreign exchange (gain)/loss</t>
  </si>
  <si>
    <t>Fair value change of investments</t>
  </si>
  <si>
    <t>Gain on extinguishment of convertible bonds</t>
  </si>
  <si>
    <t>Changes in operating assets and liabilities:</t>
  </si>
  <si>
    <t>Receivables from online payment platforms</t>
  </si>
  <si>
    <t>Amounts due from related parties</t>
  </si>
  <si>
    <t>Prepayments and other current assets</t>
  </si>
  <si>
    <t>Customer advances and deferred revenues</t>
  </si>
  <si>
    <t>Amounts due to related parties</t>
  </si>
  <si>
    <t>Payable to merchants</t>
  </si>
  <si>
    <t>Accrued expenses and other liabilities</t>
  </si>
  <si>
    <t>Merchant deposits</t>
  </si>
  <si>
    <t>Lease liabilities</t>
  </si>
  <si>
    <t>Other non-current assets</t>
  </si>
  <si>
    <t>Other non-current liabilities</t>
  </si>
  <si>
    <t>Net cash generated from operating activities</t>
  </si>
  <si>
    <t>CASH FLOW FROM INVESTING ACTIVITIES</t>
  </si>
  <si>
    <t>Purchase of short-term time deposits, held to maturities and other investments</t>
  </si>
  <si>
    <t>Proceeds from sales of short-term time deposits, held to maturities and other investments</t>
  </si>
  <si>
    <t>Purchases of available-for-sale investments</t>
  </si>
  <si>
    <t>Purchase of long-term time deposits, held to maturities and other investments</t>
  </si>
  <si>
    <t>Proceeds from sales of long-term time deposits, held to maturities and other investments</t>
  </si>
  <si>
    <t>Purchase of property, equipment and software and intangible assets</t>
  </si>
  <si>
    <t>Proceeds from disposal of property and equipment</t>
  </si>
  <si>
    <t>Loans to a related party</t>
  </si>
  <si>
    <t>Others</t>
  </si>
  <si>
    <t>Net cash used in investing activities</t>
  </si>
  <si>
    <t>CASH FLOW FROM FINANCING ACTIVITIES</t>
  </si>
  <si>
    <t>Net proceeds from the follow-on offerings</t>
  </si>
  <si>
    <t>Proceeds from the private placements</t>
  </si>
  <si>
    <t>Net proceeds from the issuance of convertible bonds</t>
  </si>
  <si>
    <t>Proceeds from short-term borrowings</t>
  </si>
  <si>
    <t>Repayment of short-term borrowings</t>
  </si>
  <si>
    <t>Net cash generated from/(used in) financing activities</t>
  </si>
  <si>
    <t>Effect of exchange rate changes on cash, cash equivalents and restricted cash</t>
  </si>
  <si>
    <t>Increase/(decrease) in cash, cash equivalents and restricted cash</t>
  </si>
  <si>
    <t>Cash, cash equivalents and restricted cash at beginning of the year</t>
  </si>
  <si>
    <t>Cash, cash equivalents and restricted cash at end of the year</t>
  </si>
  <si>
    <r>
      <rPr>
        <b/>
        <sz val="11"/>
        <color indexed="8"/>
        <rFont val="Calibri"/>
        <family val="2"/>
        <charset val="1"/>
      </rPr>
      <t xml:space="preserve">Supplement disclosure of cash flow information </t>
    </r>
    <r>
      <rPr>
        <b/>
        <sz val="11"/>
        <color indexed="8"/>
        <rFont val="Tahoma"/>
        <family val="2"/>
      </rPr>
      <t>：</t>
    </r>
  </si>
  <si>
    <t>Interest received</t>
  </si>
  <si>
    <t>Income taxes paid</t>
  </si>
  <si>
    <r>
      <rPr>
        <b/>
        <sz val="11"/>
        <color indexed="8"/>
        <rFont val="Calibri"/>
        <family val="2"/>
        <charset val="1"/>
      </rPr>
      <t xml:space="preserve">Supplement disclosure of non-cash operating activities </t>
    </r>
    <r>
      <rPr>
        <b/>
        <sz val="11"/>
        <color indexed="8"/>
        <rFont val="Tahoma"/>
        <family val="2"/>
      </rPr>
      <t>：</t>
    </r>
  </si>
  <si>
    <t>Recognition of right-of-use assets and lease liabilities</t>
  </si>
  <si>
    <r>
      <rPr>
        <b/>
        <sz val="11"/>
        <color indexed="8"/>
        <rFont val="Calibri"/>
        <family val="2"/>
        <charset val="1"/>
      </rPr>
      <t xml:space="preserve">Supplement disclosure of non-cash investing activities </t>
    </r>
    <r>
      <rPr>
        <b/>
        <sz val="11"/>
        <color indexed="8"/>
        <rFont val="Tahoma"/>
        <family val="2"/>
      </rPr>
      <t>：</t>
    </r>
  </si>
  <si>
    <t>Purchase of property, equipment and software included in accrued expenses and other liabilities</t>
  </si>
  <si>
    <t>Reconciliation of cash, cash equivalents and restricted cash:</t>
  </si>
  <si>
    <t>Cash and cash equivalents</t>
  </si>
  <si>
    <t>Restricted cash</t>
  </si>
  <si>
    <t>Total cash, cash equivalents and restricted cash in the statements of cash flows</t>
  </si>
  <si>
    <t>Note</t>
  </si>
  <si>
    <t>2019</t>
  </si>
  <si>
    <t>Revenues</t>
  </si>
  <si>
    <t>Online marketplace services</t>
  </si>
  <si>
    <t>Merchandise sales</t>
  </si>
  <si>
    <t>Total revenues</t>
  </si>
  <si>
    <t>Costs of revenues</t>
  </si>
  <si>
    <t>Costs of online marketplace services (including services received from a related party of RMB1,042,630 and RMB1,424,786 (US$204,658) for the years ended December 31, 2018 and 2019, respectively)</t>
  </si>
  <si>
    <t>Costs of merchandise sales</t>
  </si>
  <si>
    <t>Total costs of revenues</t>
  </si>
  <si>
    <t>Sales and marketing expenses</t>
  </si>
  <si>
    <t>Research and development expenses (including services received from a related party of RMB223,732 and RMB873,288 (US$125,440) for the years ended December 31, 2018 and 2019, respectively)</t>
  </si>
  <si>
    <t>Impairment of a long-term investment</t>
  </si>
  <si>
    <t>Operating loss</t>
  </si>
  <si>
    <t>Foreign exchange (loss)/gain</t>
  </si>
  <si>
    <t>Other income/(loss), net</t>
  </si>
  <si>
    <t>Loss before income tax and share of results of equity investees</t>
  </si>
  <si>
    <t>Net loss</t>
  </si>
  <si>
    <t>Deemed distribution to certain holders of convertible preferred shares</t>
  </si>
  <si>
    <t>Contribution from a holder of convertible preferred shares</t>
  </si>
  <si>
    <t>Net loss attributable to ordinary shareholders</t>
  </si>
  <si>
    <t>Loss per share:</t>
  </si>
  <si>
    <t>Shares used in loss per share computation:</t>
  </si>
  <si>
    <t>Other comprehensive (loss)/income, net of tax of nil</t>
  </si>
  <si>
    <t>Foreign currency translation difference, net of tax of nil</t>
  </si>
  <si>
    <t>Comprehensive loss</t>
  </si>
  <si>
    <t>Provision for prepayments made on behalf of merchants</t>
  </si>
  <si>
    <t>Lease expense to reduce right-of-use assets</t>
  </si>
  <si>
    <t>Loss on disposal of property and equipment</t>
  </si>
  <si>
    <t>Foreign exchange gain</t>
  </si>
  <si>
    <t>Payable due to merchants</t>
  </si>
  <si>
    <t>Right-of-use assets</t>
  </si>
  <si>
    <t>Net cash provided by operating activities</t>
  </si>
  <si>
    <t>Purchase of short-term investments</t>
  </si>
  <si>
    <t>Proceeds from sales of short-term investments</t>
  </si>
  <si>
    <t>Purchase of long-term investments</t>
  </si>
  <si>
    <t>Proceeds from disposal of a long-term investment</t>
  </si>
  <si>
    <t>Purchase of property, equipment and software</t>
  </si>
  <si>
    <t>Loans to related parties</t>
  </si>
  <si>
    <t>Repayments from related parties</t>
  </si>
  <si>
    <t>(Loans to)/Repayments from third parties</t>
  </si>
  <si>
    <t>Net cash provided by/(used in) investing activities</t>
  </si>
  <si>
    <t>Proceeds from the initial public offering</t>
  </si>
  <si>
    <t>Costs incurred for the  initial public offering</t>
  </si>
  <si>
    <t>Proceeds from follow-on offering</t>
  </si>
  <si>
    <t>Costs incurred for the follow-on offering</t>
  </si>
  <si>
    <t>Proceeds from issuance of convertible preferred shares</t>
  </si>
  <si>
    <t>Costs incurred for the issuance of convertible preferred shares</t>
  </si>
  <si>
    <t>Repurchase of Class B ordinary shares</t>
  </si>
  <si>
    <t>Proceeds from issuance of convertible bonds</t>
  </si>
  <si>
    <t>Costs incurred for the issuance of convertible bonds</t>
  </si>
  <si>
    <t>Net cash provided by  financing activities</t>
  </si>
  <si>
    <t>Increase in cash, cash equivalents and restricted cash</t>
  </si>
  <si>
    <t>Cash, cash equivalents and restricted cash at beginning of year</t>
  </si>
  <si>
    <t>Cash, cash equivalents and restricted cash at end of year</t>
  </si>
  <si>
    <t>Supplement disclosure of cash flow information :</t>
  </si>
  <si>
    <t>Interest income received</t>
  </si>
  <si>
    <t>Supplement disclosure of non-cash operating activities :</t>
  </si>
  <si>
    <t>Supplement disclosure of non-cash investing activities :</t>
  </si>
  <si>
    <t>Acquisition of intangible asset</t>
  </si>
  <si>
    <t>NCI</t>
  </si>
  <si>
    <t>Pinduoduo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</si>
</sst>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\(#,##0_);[Red]\(#,##0\)"/>
    <numFmt numFmtId="166" formatCode="\(#,##0.00_);[Red]\(#,##0.00\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charset val="1"/>
    </font>
    <font>
      <b/>
      <sz val="11"/>
      <color indexed="8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3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64" fontId="7" fillId="2" borderId="4" xfId="1" applyNumberFormat="1" applyFont="1" applyFill="1" applyBorder="1"/>
    <xf numFmtId="1" fontId="3" fillId="2" borderId="4" xfId="0" applyNumberFormat="1" applyFont="1" applyFill="1" applyBorder="1"/>
    <xf numFmtId="164" fontId="3" fillId="2" borderId="0" xfId="1" applyNumberFormat="1" applyFont="1" applyFill="1"/>
    <xf numFmtId="10" fontId="3" fillId="2" borderId="0" xfId="1" applyNumberFormat="1" applyFont="1" applyFill="1"/>
    <xf numFmtId="3" fontId="0" fillId="2" borderId="0" xfId="0" applyNumberFormat="1" applyFill="1"/>
    <xf numFmtId="0" fontId="3" fillId="4" borderId="0" xfId="0" applyFont="1" applyFill="1"/>
    <xf numFmtId="0" fontId="3" fillId="2" borderId="7" xfId="0" applyFont="1" applyFill="1" applyBorder="1"/>
    <xf numFmtId="0" fontId="3" fillId="2" borderId="8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0" fillId="2" borderId="5" xfId="0" applyNumberForma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9" xfId="0" applyFont="1" applyFill="1" applyBorder="1"/>
    <xf numFmtId="2" fontId="6" fillId="2" borderId="0" xfId="0" applyNumberFormat="1" applyFont="1" applyFill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3" fontId="3" fillId="2" borderId="1" xfId="0" applyNumberFormat="1" applyFont="1" applyFill="1" applyBorder="1"/>
    <xf numFmtId="0" fontId="8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10" xfId="0" applyFont="1" applyFill="1" applyBorder="1"/>
    <xf numFmtId="0" fontId="0" fillId="2" borderId="11" xfId="0" applyFill="1" applyBorder="1"/>
    <xf numFmtId="10" fontId="2" fillId="2" borderId="12" xfId="0" applyNumberFormat="1" applyFont="1" applyFill="1" applyBorder="1"/>
    <xf numFmtId="164" fontId="7" fillId="2" borderId="0" xfId="1" applyNumberFormat="1" applyFont="1" applyFill="1" applyBorder="1"/>
    <xf numFmtId="0" fontId="0" fillId="8" borderId="0" xfId="0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2" fontId="3" fillId="2" borderId="0" xfId="0" applyNumberFormat="1" applyFont="1" applyFill="1"/>
    <xf numFmtId="164" fontId="0" fillId="10" borderId="0" xfId="0" applyNumberFormat="1" applyFill="1"/>
    <xf numFmtId="164" fontId="0" fillId="10" borderId="0" xfId="0" applyNumberFormat="1" applyFill="1" applyAlignment="1">
      <alignment horizontal="left"/>
    </xf>
    <xf numFmtId="2" fontId="0" fillId="2" borderId="0" xfId="0" applyNumberFormat="1" applyFill="1"/>
    <xf numFmtId="2" fontId="0" fillId="3" borderId="0" xfId="0" applyNumberFormat="1" applyFill="1"/>
    <xf numFmtId="164" fontId="3" fillId="10" borderId="0" xfId="1" applyNumberFormat="1" applyFont="1" applyFill="1" applyBorder="1" applyAlignment="1">
      <alignment horizontal="left"/>
    </xf>
    <xf numFmtId="2" fontId="9" fillId="11" borderId="0" xfId="0" applyNumberFormat="1" applyFont="1" applyFill="1"/>
    <xf numFmtId="164" fontId="0" fillId="10" borderId="0" xfId="1" applyNumberFormat="1" applyFont="1" applyFill="1" applyBorder="1" applyAlignment="1">
      <alignment horizontal="left"/>
    </xf>
    <xf numFmtId="3" fontId="3" fillId="8" borderId="0" xfId="0" applyNumberFormat="1" applyFont="1" applyFill="1"/>
    <xf numFmtId="1" fontId="3" fillId="2" borderId="1" xfId="0" applyNumberFormat="1" applyFont="1" applyFill="1" applyBorder="1"/>
    <xf numFmtId="0" fontId="6" fillId="4" borderId="4" xfId="0" applyFont="1" applyFill="1" applyBorder="1"/>
    <xf numFmtId="1" fontId="3" fillId="2" borderId="14" xfId="0" applyNumberFormat="1" applyFont="1" applyFill="1" applyBorder="1"/>
    <xf numFmtId="3" fontId="3" fillId="2" borderId="4" xfId="0" applyNumberFormat="1" applyFont="1" applyFill="1" applyBorder="1"/>
    <xf numFmtId="0" fontId="6" fillId="3" borderId="4" xfId="0" applyFont="1" applyFill="1" applyBorder="1"/>
    <xf numFmtId="164" fontId="3" fillId="2" borderId="4" xfId="0" applyNumberFormat="1" applyFont="1" applyFill="1" applyBorder="1"/>
    <xf numFmtId="1" fontId="3" fillId="2" borderId="13" xfId="0" applyNumberFormat="1" applyFont="1" applyFill="1" applyBorder="1"/>
    <xf numFmtId="14" fontId="3" fillId="2" borderId="0" xfId="0" applyNumberFormat="1" applyFont="1" applyFill="1"/>
    <xf numFmtId="9" fontId="3" fillId="2" borderId="0" xfId="1" applyFont="1" applyFill="1" applyAlignment="1">
      <alignment horizontal="left"/>
    </xf>
    <xf numFmtId="0" fontId="10" fillId="0" borderId="0" xfId="0" applyFont="1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3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right"/>
    </xf>
    <xf numFmtId="165" fontId="10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0" fillId="0" borderId="0" xfId="0" applyNumberFormat="1" applyFont="1" applyAlignment="1">
      <alignment horizontal="center"/>
    </xf>
    <xf numFmtId="0" fontId="3" fillId="2" borderId="0" xfId="1" applyNumberFormat="1" applyFont="1" applyFill="1"/>
    <xf numFmtId="10" fontId="7" fillId="2" borderId="0" xfId="1" applyNumberFormat="1" applyFont="1" applyFill="1"/>
    <xf numFmtId="0" fontId="6" fillId="4" borderId="0" xfId="0" applyFont="1" applyFill="1" applyBorder="1"/>
    <xf numFmtId="1" fontId="3" fillId="2" borderId="0" xfId="0" applyNumberFormat="1" applyFont="1" applyFill="1" applyBorder="1"/>
    <xf numFmtId="0" fontId="3" fillId="2" borderId="0" xfId="0" applyFont="1" applyFill="1" applyBorder="1"/>
    <xf numFmtId="3" fontId="3" fillId="2" borderId="0" xfId="0" applyNumberFormat="1" applyFont="1" applyFill="1" applyBorder="1"/>
    <xf numFmtId="10" fontId="7" fillId="2" borderId="0" xfId="1" applyNumberFormat="1" applyFont="1" applyFill="1" applyBorder="1"/>
    <xf numFmtId="0" fontId="6" fillId="3" borderId="0" xfId="0" applyFont="1" applyFill="1" applyBorder="1"/>
    <xf numFmtId="164" fontId="3" fillId="2" borderId="0" xfId="0" applyNumberFormat="1" applyFont="1" applyFill="1" applyBorder="1"/>
    <xf numFmtId="10" fontId="7" fillId="2" borderId="4" xfId="1" applyNumberFormat="1" applyFont="1" applyFill="1" applyBorder="1"/>
    <xf numFmtId="10" fontId="7" fillId="2" borderId="4" xfId="0" applyNumberFormat="1" applyFont="1" applyFill="1" applyBorder="1"/>
    <xf numFmtId="10" fontId="7" fillId="2" borderId="0" xfId="0" applyNumberFormat="1" applyFont="1" applyFill="1" applyBorder="1"/>
    <xf numFmtId="1" fontId="3" fillId="2" borderId="6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H72"/>
  <sheetViews>
    <sheetView tabSelected="1" workbookViewId="0">
      <selection activeCell="G8" sqref="G8"/>
    </sheetView>
  </sheetViews>
  <sheetFormatPr defaultRowHeight="15" x14ac:dyDescent="0.25"/>
  <cols>
    <col min="1" max="1" width="7.7109375" style="2" customWidth="1"/>
    <col min="2" max="2" width="18.7109375" style="2" customWidth="1"/>
    <col min="3" max="18" width="12.28515625" style="2" customWidth="1"/>
    <col min="19" max="86" width="11.28515625" style="55" customWidth="1"/>
    <col min="87" max="16384" width="9.140625" style="55"/>
  </cols>
  <sheetData>
    <row r="1" spans="1:8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86" ht="23.25" x14ac:dyDescent="0.35">
      <c r="A2" s="3"/>
      <c r="B2" s="4" t="s">
        <v>205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86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86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86" x14ac:dyDescent="0.25">
      <c r="A5" s="1"/>
      <c r="B5" s="1"/>
      <c r="C5" s="7" t="s">
        <v>1</v>
      </c>
      <c r="D5" s="1"/>
      <c r="E5" s="8">
        <f>WACC!K14</f>
        <v>7.8886607290970773E-2</v>
      </c>
      <c r="G5" s="1"/>
      <c r="H5" s="1" t="s">
        <v>2</v>
      </c>
      <c r="I5" s="1"/>
      <c r="J5" s="7">
        <v>79.87</v>
      </c>
      <c r="K5" s="1"/>
      <c r="L5" s="1" t="s">
        <v>3</v>
      </c>
      <c r="M5" s="1"/>
      <c r="N5" s="75">
        <f>(J6/J5)-1</f>
        <v>0.29186993745793877</v>
      </c>
      <c r="O5" s="1"/>
      <c r="P5" s="1"/>
      <c r="Q5" s="1"/>
    </row>
    <row r="6" spans="1:86" x14ac:dyDescent="0.25">
      <c r="A6" s="1"/>
      <c r="B6" s="1"/>
      <c r="C6" s="7" t="s">
        <v>4</v>
      </c>
      <c r="D6" s="1"/>
      <c r="E6" s="8">
        <v>0.03</v>
      </c>
      <c r="G6" s="1"/>
      <c r="H6" s="1" t="s">
        <v>5</v>
      </c>
      <c r="I6" s="1"/>
      <c r="J6" s="7">
        <f>D71</f>
        <v>103.18165190476557</v>
      </c>
      <c r="K6" s="1"/>
      <c r="L6" s="1" t="s">
        <v>58</v>
      </c>
      <c r="M6" s="1"/>
      <c r="N6" s="74">
        <v>45094</v>
      </c>
      <c r="O6" s="1"/>
      <c r="P6" s="1"/>
      <c r="Q6" s="1"/>
    </row>
    <row r="7" spans="1:86" x14ac:dyDescent="0.25">
      <c r="B7" s="74"/>
      <c r="C7" s="1"/>
      <c r="D7" s="1"/>
      <c r="E7" s="9"/>
      <c r="F7" s="1"/>
      <c r="G7" s="1"/>
      <c r="H7" s="1"/>
      <c r="I7" s="1"/>
      <c r="J7" s="1"/>
      <c r="K7" s="1"/>
      <c r="L7" s="61"/>
      <c r="M7" s="1"/>
      <c r="N7" s="1"/>
      <c r="O7" s="1"/>
      <c r="P7" s="1"/>
      <c r="Q7" s="1"/>
    </row>
    <row r="8" spans="1:86" x14ac:dyDescent="0.25">
      <c r="A8" s="1"/>
      <c r="B8" s="12"/>
      <c r="C8" s="1"/>
      <c r="D8" s="1"/>
      <c r="E8" s="39"/>
      <c r="F8" s="1"/>
      <c r="G8" s="1"/>
      <c r="H8" s="12"/>
      <c r="I8" s="1"/>
      <c r="J8" s="1"/>
      <c r="K8" s="1"/>
      <c r="L8" s="1"/>
      <c r="M8" s="1"/>
      <c r="N8" s="1"/>
      <c r="O8" s="1"/>
      <c r="P8" s="1"/>
      <c r="Q8" s="1"/>
    </row>
    <row r="9" spans="1:86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86" x14ac:dyDescent="0.25">
      <c r="A10" s="1"/>
      <c r="B10" s="10" t="s">
        <v>6</v>
      </c>
      <c r="C10" s="10">
        <v>2017</v>
      </c>
      <c r="D10" s="10">
        <v>2018</v>
      </c>
      <c r="E10" s="11">
        <v>2019</v>
      </c>
      <c r="F10" s="10">
        <v>2020</v>
      </c>
      <c r="G10" s="10">
        <v>2021</v>
      </c>
      <c r="H10" s="10">
        <v>2022</v>
      </c>
      <c r="I10" s="68">
        <v>2023</v>
      </c>
      <c r="J10" s="92">
        <v>2024</v>
      </c>
      <c r="K10" s="92">
        <v>2025</v>
      </c>
      <c r="L10" s="92">
        <v>2026</v>
      </c>
      <c r="M10" s="92">
        <v>2027</v>
      </c>
      <c r="N10" s="92">
        <v>2028</v>
      </c>
      <c r="O10" s="92">
        <v>2029</v>
      </c>
      <c r="P10" s="92">
        <v>2030</v>
      </c>
      <c r="Q10" s="92">
        <v>2031</v>
      </c>
      <c r="R10" s="92">
        <v>2032</v>
      </c>
      <c r="S10" s="10">
        <v>2033</v>
      </c>
      <c r="T10" s="10">
        <v>2034</v>
      </c>
      <c r="U10" s="10">
        <v>2035</v>
      </c>
      <c r="V10" s="10">
        <v>2036</v>
      </c>
      <c r="W10" s="10">
        <v>2037</v>
      </c>
      <c r="X10" s="10">
        <v>2038</v>
      </c>
      <c r="Y10" s="10">
        <v>2039</v>
      </c>
      <c r="Z10" s="10">
        <v>2040</v>
      </c>
      <c r="AA10" s="10">
        <v>2041</v>
      </c>
      <c r="AB10" s="10">
        <v>2042</v>
      </c>
      <c r="AC10" s="10">
        <v>2043</v>
      </c>
      <c r="AD10" s="10">
        <v>2044</v>
      </c>
      <c r="AE10" s="10">
        <v>2045</v>
      </c>
      <c r="AF10" s="10">
        <v>2046</v>
      </c>
      <c r="AG10" s="10">
        <v>2047</v>
      </c>
      <c r="AH10" s="10">
        <v>2048</v>
      </c>
      <c r="AI10" s="10">
        <v>2049</v>
      </c>
      <c r="AJ10" s="10">
        <v>2050</v>
      </c>
      <c r="AK10" s="10">
        <v>2051</v>
      </c>
      <c r="AL10" s="10">
        <v>2052</v>
      </c>
      <c r="AM10" s="10">
        <v>2053</v>
      </c>
      <c r="AN10" s="10">
        <v>2054</v>
      </c>
      <c r="AO10" s="10">
        <v>2055</v>
      </c>
      <c r="AP10" s="10">
        <v>2056</v>
      </c>
      <c r="AQ10" s="10">
        <v>2057</v>
      </c>
      <c r="AR10" s="10">
        <v>2058</v>
      </c>
      <c r="AS10" s="10">
        <v>2059</v>
      </c>
      <c r="AT10" s="10">
        <v>2060</v>
      </c>
      <c r="AU10" s="10">
        <v>2061</v>
      </c>
      <c r="AV10" s="10">
        <v>2062</v>
      </c>
      <c r="AW10" s="10">
        <v>2063</v>
      </c>
      <c r="AX10" s="10">
        <v>2064</v>
      </c>
      <c r="AY10" s="10">
        <v>2065</v>
      </c>
      <c r="AZ10" s="10">
        <v>2066</v>
      </c>
      <c r="BA10" s="10">
        <v>2067</v>
      </c>
      <c r="BB10" s="10">
        <v>2068</v>
      </c>
      <c r="BC10" s="10">
        <v>2069</v>
      </c>
      <c r="BD10" s="10">
        <v>2070</v>
      </c>
      <c r="BE10" s="10">
        <v>2071</v>
      </c>
      <c r="BF10" s="10">
        <v>2072</v>
      </c>
      <c r="BG10" s="10">
        <v>2073</v>
      </c>
      <c r="BH10" s="10">
        <v>2074</v>
      </c>
      <c r="BI10" s="10">
        <v>2075</v>
      </c>
      <c r="BJ10" s="10">
        <v>2076</v>
      </c>
      <c r="BK10" s="10">
        <v>2077</v>
      </c>
      <c r="BL10" s="10">
        <v>2078</v>
      </c>
      <c r="BM10" s="10">
        <v>2079</v>
      </c>
      <c r="BN10" s="10">
        <v>2080</v>
      </c>
      <c r="BO10" s="10">
        <v>2081</v>
      </c>
      <c r="BP10" s="10">
        <v>2082</v>
      </c>
      <c r="BQ10" s="10">
        <v>2083</v>
      </c>
      <c r="BR10" s="10">
        <v>2084</v>
      </c>
      <c r="BS10" s="10">
        <v>2085</v>
      </c>
      <c r="BT10" s="10">
        <v>2086</v>
      </c>
      <c r="BU10" s="10">
        <v>2087</v>
      </c>
      <c r="BV10" s="10">
        <v>2088</v>
      </c>
      <c r="BW10" s="10">
        <v>2089</v>
      </c>
      <c r="BX10" s="10">
        <v>2090</v>
      </c>
      <c r="BY10" s="10">
        <v>2091</v>
      </c>
      <c r="BZ10" s="10">
        <v>2092</v>
      </c>
      <c r="CA10" s="10">
        <v>2093</v>
      </c>
      <c r="CB10" s="10">
        <v>2094</v>
      </c>
      <c r="CC10" s="10">
        <v>2095</v>
      </c>
      <c r="CD10" s="10">
        <v>2096</v>
      </c>
      <c r="CE10" s="10">
        <v>2097</v>
      </c>
      <c r="CF10" s="10">
        <v>2098</v>
      </c>
      <c r="CG10" s="10">
        <v>2099</v>
      </c>
      <c r="CH10" s="10">
        <v>2100</v>
      </c>
    </row>
    <row r="11" spans="1:86" x14ac:dyDescent="0.25">
      <c r="A11" s="1"/>
      <c r="B11" s="1" t="s">
        <v>7</v>
      </c>
      <c r="C11" s="12">
        <f>'Raw IS'!M7</f>
        <v>1744076</v>
      </c>
      <c r="D11" s="12">
        <f>'Raw IS'!N7</f>
        <v>13119990</v>
      </c>
      <c r="E11" s="12">
        <f>'Raw IS'!O7</f>
        <v>30141886</v>
      </c>
      <c r="F11" s="12">
        <f>'Raw IS'!E5</f>
        <v>59491865</v>
      </c>
      <c r="G11" s="12">
        <f>'Raw IS'!F5</f>
        <v>93949939</v>
      </c>
      <c r="H11" s="12">
        <f>'Raw IS'!G5</f>
        <v>130557589</v>
      </c>
      <c r="I11" s="21">
        <f>H11*(1+I12)</f>
        <v>177050000</v>
      </c>
      <c r="J11" s="93">
        <f t="shared" ref="J11:R11" si="1">I11*(1+J12)</f>
        <v>215560000</v>
      </c>
      <c r="K11" s="93">
        <f t="shared" si="1"/>
        <v>250380000</v>
      </c>
      <c r="L11" s="93">
        <f t="shared" si="1"/>
        <v>273970000</v>
      </c>
      <c r="M11" s="93">
        <f t="shared" si="1"/>
        <v>291380000</v>
      </c>
      <c r="N11" s="93">
        <f t="shared" si="1"/>
        <v>308600000</v>
      </c>
      <c r="O11" s="93">
        <f t="shared" si="1"/>
        <v>326630000</v>
      </c>
      <c r="P11" s="93">
        <f t="shared" si="1"/>
        <v>341440000</v>
      </c>
      <c r="Q11" s="93">
        <f t="shared" si="1"/>
        <v>374060000</v>
      </c>
      <c r="R11" s="93">
        <f t="shared" si="1"/>
        <v>397980000.00000006</v>
      </c>
    </row>
    <row r="12" spans="1:86" x14ac:dyDescent="0.25">
      <c r="A12" s="1"/>
      <c r="B12" s="14" t="s">
        <v>8</v>
      </c>
      <c r="C12" s="15"/>
      <c r="D12" s="15">
        <f>(D11/C11)-1</f>
        <v>6.5226022260497825</v>
      </c>
      <c r="E12" s="15">
        <f t="shared" ref="E12:H12" si="2">(E11/D11)-1</f>
        <v>1.2974015986292673</v>
      </c>
      <c r="F12" s="15">
        <f t="shared" si="2"/>
        <v>0.97372735733921889</v>
      </c>
      <c r="G12" s="15">
        <f t="shared" si="2"/>
        <v>0.57920648478577696</v>
      </c>
      <c r="H12" s="15">
        <f t="shared" si="2"/>
        <v>0.38965059892162346</v>
      </c>
      <c r="I12" s="20">
        <v>0.35610653778234225</v>
      </c>
      <c r="J12" s="54">
        <v>0.217509178198249</v>
      </c>
      <c r="K12" s="54">
        <v>0.16153275190202265</v>
      </c>
      <c r="L12" s="54">
        <v>9.4216790478472756E-2</v>
      </c>
      <c r="M12" s="54">
        <v>6.3547103697485063E-2</v>
      </c>
      <c r="N12" s="54">
        <v>5.909808497494673E-2</v>
      </c>
      <c r="O12" s="54">
        <v>5.8425145819831492E-2</v>
      </c>
      <c r="P12" s="54">
        <v>4.5341824082294924E-2</v>
      </c>
      <c r="Q12" s="54">
        <v>9.5536551077788134E-2</v>
      </c>
      <c r="R12" s="54">
        <v>6.3946960380687701E-2</v>
      </c>
    </row>
    <row r="13" spans="1:86" x14ac:dyDescent="0.25">
      <c r="A13" s="1"/>
      <c r="B13" s="6"/>
      <c r="C13" s="1"/>
      <c r="D13" s="1"/>
      <c r="E13" s="1"/>
      <c r="F13" s="1"/>
      <c r="G13" s="1"/>
      <c r="H13" s="1"/>
      <c r="I13" s="13"/>
      <c r="J13" s="94"/>
      <c r="K13" s="94"/>
      <c r="L13" s="94"/>
      <c r="M13" s="94"/>
      <c r="N13" s="94"/>
      <c r="O13" s="94"/>
      <c r="P13" s="94"/>
      <c r="Q13" s="94"/>
      <c r="R13" s="94"/>
    </row>
    <row r="14" spans="1:86" x14ac:dyDescent="0.25">
      <c r="A14" s="1"/>
      <c r="B14" s="1" t="s">
        <v>9</v>
      </c>
      <c r="C14" s="12">
        <f>'Raw IS'!M12</f>
        <v>-722830</v>
      </c>
      <c r="D14" s="12">
        <f>'Raw IS'!N12</f>
        <v>-2905249</v>
      </c>
      <c r="E14" s="12">
        <f>'Raw IS'!O12</f>
        <v>-6338778</v>
      </c>
      <c r="F14" s="12">
        <f>'Raw IS'!E6</f>
        <v>-19278641</v>
      </c>
      <c r="G14" s="12">
        <f>'Raw IS'!F6</f>
        <v>-31718093</v>
      </c>
      <c r="H14" s="12">
        <f>'Raw IS'!G6</f>
        <v>-31462298</v>
      </c>
      <c r="I14" s="69">
        <f>I11-I16</f>
        <v>43695940</v>
      </c>
      <c r="J14" s="67">
        <f t="shared" ref="J14:K14" si="3">J11-J16</f>
        <v>54407344</v>
      </c>
      <c r="K14" s="67">
        <f t="shared" si="3"/>
        <v>62069202</v>
      </c>
      <c r="L14" s="67">
        <f t="shared" ref="L14:R14" si="4">L11-L16</f>
        <v>62191190</v>
      </c>
      <c r="M14" s="67">
        <f t="shared" si="4"/>
        <v>64977740</v>
      </c>
      <c r="N14" s="67">
        <f t="shared" si="4"/>
        <v>67583400</v>
      </c>
      <c r="O14" s="67">
        <f t="shared" si="4"/>
        <v>70225450</v>
      </c>
      <c r="P14" s="67">
        <f t="shared" si="4"/>
        <v>72043840</v>
      </c>
      <c r="Q14" s="67">
        <f t="shared" si="4"/>
        <v>77430420</v>
      </c>
      <c r="R14" s="67">
        <f t="shared" si="4"/>
        <v>80789940</v>
      </c>
    </row>
    <row r="15" spans="1:86" x14ac:dyDescent="0.25">
      <c r="A15" s="1"/>
      <c r="B15" s="18"/>
      <c r="C15" s="18"/>
      <c r="D15" s="18"/>
      <c r="E15" s="18"/>
      <c r="F15" s="18"/>
      <c r="G15" s="18"/>
      <c r="H15" s="18"/>
      <c r="I15" s="13"/>
      <c r="J15" s="94"/>
      <c r="K15" s="94"/>
      <c r="L15" s="94"/>
      <c r="M15" s="94"/>
      <c r="N15" s="94"/>
      <c r="O15" s="94"/>
      <c r="P15" s="94"/>
      <c r="Q15" s="94"/>
      <c r="R15" s="94"/>
    </row>
    <row r="16" spans="1:86" x14ac:dyDescent="0.25">
      <c r="A16" s="1"/>
      <c r="B16" s="1" t="s">
        <v>10</v>
      </c>
      <c r="C16" s="12">
        <f>C11+C14</f>
        <v>1021246</v>
      </c>
      <c r="D16" s="12">
        <f t="shared" ref="D16:H16" si="5">D11+D14</f>
        <v>10214741</v>
      </c>
      <c r="E16" s="12">
        <f t="shared" si="5"/>
        <v>23803108</v>
      </c>
      <c r="F16" s="12">
        <f t="shared" si="5"/>
        <v>40213224</v>
      </c>
      <c r="G16" s="12">
        <f t="shared" si="5"/>
        <v>62231846</v>
      </c>
      <c r="H16" s="12">
        <f t="shared" si="5"/>
        <v>99095291</v>
      </c>
      <c r="I16" s="21">
        <f>I11*I17</f>
        <v>133354060</v>
      </c>
      <c r="J16" s="93">
        <f t="shared" ref="J16:R16" si="6">J11*J17</f>
        <v>161152656</v>
      </c>
      <c r="K16" s="93">
        <f t="shared" si="6"/>
        <v>188310798</v>
      </c>
      <c r="L16" s="93">
        <f t="shared" si="6"/>
        <v>211778810</v>
      </c>
      <c r="M16" s="93">
        <f t="shared" si="6"/>
        <v>226402260</v>
      </c>
      <c r="N16" s="93">
        <f t="shared" si="6"/>
        <v>241016600</v>
      </c>
      <c r="O16" s="93">
        <f t="shared" si="6"/>
        <v>256404550</v>
      </c>
      <c r="P16" s="93">
        <f t="shared" si="6"/>
        <v>269396160</v>
      </c>
      <c r="Q16" s="93">
        <f t="shared" si="6"/>
        <v>296629580</v>
      </c>
      <c r="R16" s="93">
        <f t="shared" si="6"/>
        <v>317190060.00000006</v>
      </c>
    </row>
    <row r="17" spans="1:18" x14ac:dyDescent="0.25">
      <c r="A17" s="1"/>
      <c r="B17" s="14" t="s">
        <v>11</v>
      </c>
      <c r="C17" s="15">
        <f>C16/C11</f>
        <v>0.58555131771780589</v>
      </c>
      <c r="D17" s="15">
        <f t="shared" ref="D17:H17" si="7">D16/D11</f>
        <v>0.77856316963656225</v>
      </c>
      <c r="E17" s="15">
        <f t="shared" si="7"/>
        <v>0.78970201134726603</v>
      </c>
      <c r="F17" s="15">
        <f t="shared" si="7"/>
        <v>0.67594492120897542</v>
      </c>
      <c r="G17" s="15">
        <f t="shared" si="7"/>
        <v>0.66239368180962843</v>
      </c>
      <c r="H17" s="15">
        <f t="shared" si="7"/>
        <v>0.75901593893557573</v>
      </c>
      <c r="I17" s="100">
        <v>0.75319999999999998</v>
      </c>
      <c r="J17" s="101">
        <v>0.74760000000000004</v>
      </c>
      <c r="K17" s="101">
        <v>0.75209999999999999</v>
      </c>
      <c r="L17" s="101">
        <v>0.77300000000000002</v>
      </c>
      <c r="M17" s="101">
        <v>0.77700000000000002</v>
      </c>
      <c r="N17" s="101">
        <v>0.78100000000000003</v>
      </c>
      <c r="O17" s="101">
        <v>0.78500000000000003</v>
      </c>
      <c r="P17" s="101">
        <v>0.78900000000000003</v>
      </c>
      <c r="Q17" s="101">
        <v>0.79300000000000004</v>
      </c>
      <c r="R17" s="101">
        <v>0.79700000000000004</v>
      </c>
    </row>
    <row r="18" spans="1:18" x14ac:dyDescent="0.25">
      <c r="A18" s="1"/>
      <c r="B18" s="6"/>
      <c r="C18" s="1"/>
      <c r="D18" s="1"/>
      <c r="E18" s="1"/>
      <c r="F18" s="1"/>
      <c r="G18" s="1"/>
      <c r="H18" s="1"/>
      <c r="I18" s="13"/>
      <c r="J18" s="94"/>
      <c r="K18" s="94"/>
      <c r="L18" s="94"/>
      <c r="M18" s="94"/>
      <c r="N18" s="94"/>
      <c r="O18" s="94"/>
      <c r="P18" s="94"/>
      <c r="Q18" s="94"/>
      <c r="R18" s="94"/>
    </row>
    <row r="19" spans="1:18" x14ac:dyDescent="0.25">
      <c r="A19" s="1"/>
      <c r="B19" s="1" t="s">
        <v>12</v>
      </c>
      <c r="C19" s="12">
        <f>'Raw IS'!M17</f>
        <v>-129181</v>
      </c>
      <c r="D19" s="12">
        <f>'Raw IS'!N17</f>
        <v>-1116057</v>
      </c>
      <c r="E19" s="12">
        <f>'Raw IS'!O17</f>
        <v>-3870358</v>
      </c>
      <c r="F19" s="12">
        <f>'Raw IS'!E11</f>
        <v>-6891653</v>
      </c>
      <c r="G19" s="12">
        <f>'Raw IS'!F11</f>
        <v>-8992590</v>
      </c>
      <c r="H19" s="12">
        <f>'Raw IS'!G11</f>
        <v>-10384716</v>
      </c>
      <c r="I19" s="21">
        <f>I20*I11</f>
        <v>-14164000</v>
      </c>
      <c r="J19" s="93">
        <f t="shared" ref="J19:R19" si="8">J20*J11</f>
        <v>-17244800</v>
      </c>
      <c r="K19" s="93">
        <f t="shared" si="8"/>
        <v>-20030400</v>
      </c>
      <c r="L19" s="93">
        <f t="shared" si="8"/>
        <v>-21917600</v>
      </c>
      <c r="M19" s="93">
        <f t="shared" si="8"/>
        <v>-23310400</v>
      </c>
      <c r="N19" s="93">
        <f t="shared" si="8"/>
        <v>-24688000</v>
      </c>
      <c r="O19" s="93">
        <f t="shared" si="8"/>
        <v>-26130400</v>
      </c>
      <c r="P19" s="93">
        <f t="shared" si="8"/>
        <v>-27315200</v>
      </c>
      <c r="Q19" s="93">
        <f t="shared" si="8"/>
        <v>-29924800</v>
      </c>
      <c r="R19" s="93">
        <f t="shared" si="8"/>
        <v>-31838400.000000004</v>
      </c>
    </row>
    <row r="20" spans="1:18" x14ac:dyDescent="0.25">
      <c r="A20" s="1"/>
      <c r="B20" s="14" t="s">
        <v>21</v>
      </c>
      <c r="C20" s="15">
        <f>C19/C11</f>
        <v>-7.4068446558521531E-2</v>
      </c>
      <c r="D20" s="15">
        <f t="shared" ref="D20:H20" si="9">D19/D11</f>
        <v>-8.5065384958372681E-2</v>
      </c>
      <c r="E20" s="15">
        <f t="shared" si="9"/>
        <v>-0.12840463931155469</v>
      </c>
      <c r="F20" s="15">
        <f t="shared" si="9"/>
        <v>-0.11584193906175239</v>
      </c>
      <c r="G20" s="15">
        <f t="shared" si="9"/>
        <v>-9.5716826383463641E-2</v>
      </c>
      <c r="H20" s="15">
        <f t="shared" si="9"/>
        <v>-7.954126665130129E-2</v>
      </c>
      <c r="I20" s="20">
        <v>-0.08</v>
      </c>
      <c r="J20" s="54">
        <v>-0.08</v>
      </c>
      <c r="K20" s="54">
        <v>-0.08</v>
      </c>
      <c r="L20" s="54">
        <v>-0.08</v>
      </c>
      <c r="M20" s="54">
        <v>-0.08</v>
      </c>
      <c r="N20" s="54">
        <v>-0.08</v>
      </c>
      <c r="O20" s="54">
        <v>-0.08</v>
      </c>
      <c r="P20" s="54">
        <v>-0.08</v>
      </c>
      <c r="Q20" s="54">
        <v>-0.08</v>
      </c>
      <c r="R20" s="54">
        <v>-0.08</v>
      </c>
    </row>
    <row r="21" spans="1:18" x14ac:dyDescent="0.25">
      <c r="A21" s="1"/>
      <c r="B21" s="14"/>
      <c r="C21" s="12"/>
      <c r="D21" s="12"/>
      <c r="E21" s="12"/>
      <c r="F21" s="12"/>
      <c r="G21" s="12"/>
      <c r="H21" s="12"/>
      <c r="I21" s="21"/>
      <c r="J21" s="93"/>
      <c r="K21" s="93"/>
      <c r="L21" s="93"/>
      <c r="M21" s="93"/>
      <c r="N21" s="93"/>
      <c r="O21" s="93"/>
      <c r="P21" s="93"/>
      <c r="Q21" s="93"/>
      <c r="R21" s="93"/>
    </row>
    <row r="22" spans="1:18" x14ac:dyDescent="0.25">
      <c r="A22" s="1"/>
      <c r="B22" s="1" t="s">
        <v>13</v>
      </c>
      <c r="C22" s="12">
        <f>'Raw IS'!M15</f>
        <v>-1344582</v>
      </c>
      <c r="D22" s="12">
        <f>'Raw IS'!N15</f>
        <v>-13441813</v>
      </c>
      <c r="E22" s="12">
        <f>'Raw IS'!O15</f>
        <v>-27174249</v>
      </c>
      <c r="F22" s="12">
        <f>'Raw IS'!E9</f>
        <v>-41194599</v>
      </c>
      <c r="G22" s="12">
        <f>'Raw IS'!F9</f>
        <v>-44801720</v>
      </c>
      <c r="H22" s="12">
        <f>'Raw IS'!G9</f>
        <v>-54343719</v>
      </c>
      <c r="I22" s="21">
        <f>I23*I11</f>
        <v>-80557750</v>
      </c>
      <c r="J22" s="93">
        <f t="shared" ref="J22:R22" si="10">J23*J11</f>
        <v>-95708640</v>
      </c>
      <c r="K22" s="93">
        <f t="shared" si="10"/>
        <v>-107663400</v>
      </c>
      <c r="L22" s="93">
        <f t="shared" si="10"/>
        <v>-132601480</v>
      </c>
      <c r="M22" s="93">
        <f t="shared" si="10"/>
        <v>-138405500</v>
      </c>
      <c r="N22" s="93">
        <f t="shared" si="10"/>
        <v>-142573200</v>
      </c>
      <c r="O22" s="93">
        <f t="shared" si="10"/>
        <v>-146983500</v>
      </c>
      <c r="P22" s="93">
        <f t="shared" si="10"/>
        <v>-150233600</v>
      </c>
      <c r="Q22" s="93">
        <f t="shared" si="10"/>
        <v>-164586400</v>
      </c>
      <c r="R22" s="93">
        <f t="shared" si="10"/>
        <v>-175111200.00000003</v>
      </c>
    </row>
    <row r="23" spans="1:18" x14ac:dyDescent="0.25">
      <c r="A23" s="1"/>
      <c r="B23" s="14" t="s">
        <v>21</v>
      </c>
      <c r="C23" s="15">
        <f>C22/C11</f>
        <v>-0.77094232132085982</v>
      </c>
      <c r="D23" s="15">
        <f t="shared" ref="D23:H23" si="11">D22/D11</f>
        <v>-1.0245292107692154</v>
      </c>
      <c r="E23" s="15">
        <f t="shared" si="11"/>
        <v>-0.90154441563477483</v>
      </c>
      <c r="F23" s="15">
        <f t="shared" si="11"/>
        <v>-0.69244087405899946</v>
      </c>
      <c r="G23" s="15">
        <f t="shared" si="11"/>
        <v>-0.47686800520434613</v>
      </c>
      <c r="H23" s="15">
        <f t="shared" si="11"/>
        <v>-0.41624327943127076</v>
      </c>
      <c r="I23" s="20">
        <v>-0.45500000000000002</v>
      </c>
      <c r="J23" s="54">
        <v>-0.44400000000000001</v>
      </c>
      <c r="K23" s="54">
        <v>-0.43</v>
      </c>
      <c r="L23" s="54">
        <v>-0.48399999999999999</v>
      </c>
      <c r="M23" s="54">
        <v>-0.47499999999999998</v>
      </c>
      <c r="N23" s="54">
        <v>-0.46200000000000002</v>
      </c>
      <c r="O23" s="54">
        <v>-0.45</v>
      </c>
      <c r="P23" s="54">
        <v>-0.44</v>
      </c>
      <c r="Q23" s="54">
        <v>-0.44</v>
      </c>
      <c r="R23" s="54">
        <v>-0.44</v>
      </c>
    </row>
    <row r="24" spans="1:18" x14ac:dyDescent="0.25">
      <c r="A24" s="1"/>
      <c r="B24" s="14"/>
      <c r="C24" s="12"/>
      <c r="D24" s="12"/>
      <c r="E24" s="12"/>
      <c r="F24" s="12"/>
      <c r="G24" s="12"/>
      <c r="H24" s="12"/>
      <c r="I24" s="21"/>
      <c r="J24" s="93"/>
      <c r="K24" s="93"/>
      <c r="L24" s="93"/>
      <c r="M24" s="93"/>
      <c r="N24" s="93"/>
      <c r="O24" s="93"/>
      <c r="P24" s="93"/>
      <c r="Q24" s="93"/>
      <c r="R24" s="93"/>
    </row>
    <row r="25" spans="1:18" x14ac:dyDescent="0.25">
      <c r="A25" s="1"/>
      <c r="B25" s="1" t="s">
        <v>14</v>
      </c>
      <c r="C25" s="12">
        <f>'Raw IS'!M16</f>
        <v>-133207</v>
      </c>
      <c r="D25" s="12">
        <f>'Raw IS'!N16</f>
        <v>-6456612</v>
      </c>
      <c r="E25" s="12">
        <f>'Raw IS'!O16</f>
        <v>-1296712</v>
      </c>
      <c r="F25" s="12">
        <f>'Raw IS'!E10</f>
        <v>-1507297</v>
      </c>
      <c r="G25" s="12">
        <f>'Raw IS'!F10</f>
        <v>-1540774</v>
      </c>
      <c r="H25" s="12">
        <f>'Raw IS'!G10</f>
        <v>-3964935</v>
      </c>
      <c r="I25" s="21">
        <f>I26*I11</f>
        <v>-7082000</v>
      </c>
      <c r="J25" s="93">
        <f t="shared" ref="J25:Q25" si="12">J26*J11</f>
        <v>-8622400</v>
      </c>
      <c r="K25" s="93">
        <f t="shared" si="12"/>
        <v>-10015200</v>
      </c>
      <c r="L25" s="93">
        <f t="shared" si="12"/>
        <v>-10958800</v>
      </c>
      <c r="M25" s="93">
        <f t="shared" si="12"/>
        <v>-11655200</v>
      </c>
      <c r="N25" s="93">
        <f t="shared" si="12"/>
        <v>-12344000</v>
      </c>
      <c r="O25" s="93">
        <f t="shared" si="12"/>
        <v>-13065200</v>
      </c>
      <c r="P25" s="93">
        <f t="shared" si="12"/>
        <v>-13657600</v>
      </c>
      <c r="Q25" s="93">
        <f t="shared" si="12"/>
        <v>-14962400</v>
      </c>
      <c r="R25" s="93">
        <f>R26*R11</f>
        <v>-15919200.000000002</v>
      </c>
    </row>
    <row r="26" spans="1:18" x14ac:dyDescent="0.25">
      <c r="A26" s="1"/>
      <c r="B26" s="14" t="s">
        <v>21</v>
      </c>
      <c r="C26" s="15">
        <f>C25/C11</f>
        <v>-7.6376832202266418E-2</v>
      </c>
      <c r="D26" s="15">
        <f t="shared" ref="D26:H26" si="13">D25/D11</f>
        <v>-0.49212019216478059</v>
      </c>
      <c r="E26" s="15">
        <f t="shared" si="13"/>
        <v>-4.3020267543975185E-2</v>
      </c>
      <c r="F26" s="15">
        <f t="shared" si="13"/>
        <v>-2.5336186720655001E-2</v>
      </c>
      <c r="G26" s="15">
        <f t="shared" si="13"/>
        <v>-1.6399946784425266E-2</v>
      </c>
      <c r="H26" s="15">
        <f t="shared" si="13"/>
        <v>-3.0369241882982383E-2</v>
      </c>
      <c r="I26" s="20">
        <v>-0.04</v>
      </c>
      <c r="J26" s="54">
        <v>-0.04</v>
      </c>
      <c r="K26" s="54">
        <v>-0.04</v>
      </c>
      <c r="L26" s="54">
        <v>-0.04</v>
      </c>
      <c r="M26" s="54">
        <v>-0.04</v>
      </c>
      <c r="N26" s="54">
        <v>-0.04</v>
      </c>
      <c r="O26" s="54">
        <v>-0.04</v>
      </c>
      <c r="P26" s="54">
        <v>-0.04</v>
      </c>
      <c r="Q26" s="54">
        <v>-0.04</v>
      </c>
      <c r="R26" s="54">
        <v>-0.04</v>
      </c>
    </row>
    <row r="27" spans="1:18" x14ac:dyDescent="0.25">
      <c r="A27" s="1"/>
      <c r="B27" s="14"/>
      <c r="C27" s="12"/>
      <c r="D27" s="12"/>
      <c r="E27" s="12"/>
      <c r="F27" s="12"/>
      <c r="G27" s="12"/>
      <c r="H27" s="12"/>
      <c r="I27" s="21"/>
      <c r="J27" s="93"/>
      <c r="K27" s="93"/>
      <c r="L27" s="93"/>
      <c r="M27" s="93"/>
      <c r="N27" s="93"/>
      <c r="O27" s="93"/>
      <c r="P27" s="93"/>
      <c r="Q27" s="93"/>
      <c r="R27" s="93"/>
    </row>
    <row r="28" spans="1:18" x14ac:dyDescent="0.25">
      <c r="A28" s="1"/>
      <c r="B28" s="1" t="s">
        <v>15</v>
      </c>
      <c r="C28" s="12">
        <f>'Raw IS'!M18</f>
        <v>-10000</v>
      </c>
      <c r="D28" s="12"/>
      <c r="E28" s="12"/>
      <c r="F28" s="12"/>
      <c r="G28" s="12"/>
      <c r="H28" s="12"/>
      <c r="I28" s="70">
        <f>I29*I11</f>
        <v>0</v>
      </c>
      <c r="J28" s="95">
        <f t="shared" ref="J28:R28" si="14">J29*J11</f>
        <v>0</v>
      </c>
      <c r="K28" s="95">
        <f t="shared" si="14"/>
        <v>0</v>
      </c>
      <c r="L28" s="95">
        <f t="shared" si="14"/>
        <v>0</v>
      </c>
      <c r="M28" s="95">
        <f t="shared" si="14"/>
        <v>0</v>
      </c>
      <c r="N28" s="95">
        <f t="shared" si="14"/>
        <v>0</v>
      </c>
      <c r="O28" s="95">
        <f t="shared" si="14"/>
        <v>0</v>
      </c>
      <c r="P28" s="95">
        <f t="shared" si="14"/>
        <v>0</v>
      </c>
      <c r="Q28" s="95">
        <f t="shared" si="14"/>
        <v>0</v>
      </c>
      <c r="R28" s="95">
        <f t="shared" si="14"/>
        <v>0</v>
      </c>
    </row>
    <row r="29" spans="1:18" x14ac:dyDescent="0.25">
      <c r="A29" s="1"/>
      <c r="B29" s="14" t="s">
        <v>21</v>
      </c>
      <c r="C29" s="15">
        <f>C28/C11</f>
        <v>-5.7336950912689581E-3</v>
      </c>
      <c r="D29" s="15">
        <f t="shared" ref="D29:H29" si="15">D28/D11</f>
        <v>0</v>
      </c>
      <c r="E29" s="15">
        <f t="shared" si="15"/>
        <v>0</v>
      </c>
      <c r="F29" s="15">
        <f t="shared" si="15"/>
        <v>0</v>
      </c>
      <c r="G29" s="15">
        <f t="shared" si="15"/>
        <v>0</v>
      </c>
      <c r="H29" s="15">
        <f t="shared" si="15"/>
        <v>0</v>
      </c>
      <c r="I29" s="20">
        <v>0</v>
      </c>
      <c r="J29" s="54">
        <v>0</v>
      </c>
      <c r="K29" s="54">
        <v>0</v>
      </c>
      <c r="L29" s="54">
        <v>0</v>
      </c>
      <c r="M29" s="54">
        <v>0</v>
      </c>
      <c r="N29" s="54">
        <v>0</v>
      </c>
      <c r="O29" s="54">
        <v>0</v>
      </c>
      <c r="P29" s="54">
        <v>0</v>
      </c>
      <c r="Q29" s="54">
        <v>0</v>
      </c>
      <c r="R29" s="54">
        <v>0</v>
      </c>
    </row>
    <row r="30" spans="1:18" x14ac:dyDescent="0.25">
      <c r="A30" s="1"/>
      <c r="B30" s="14"/>
      <c r="C30" s="12"/>
      <c r="D30" s="12"/>
      <c r="E30" s="12"/>
      <c r="F30" s="12"/>
      <c r="G30" s="12"/>
      <c r="H30" s="12"/>
      <c r="I30" s="70"/>
      <c r="J30" s="95"/>
      <c r="K30" s="95"/>
      <c r="L30" s="95"/>
      <c r="M30" s="95"/>
      <c r="N30" s="95"/>
      <c r="O30" s="95"/>
      <c r="P30" s="95"/>
      <c r="Q30" s="95"/>
      <c r="R30" s="95"/>
    </row>
    <row r="31" spans="1:18" x14ac:dyDescent="0.25">
      <c r="A31" s="1"/>
      <c r="B31" s="1" t="s">
        <v>16</v>
      </c>
      <c r="C31" s="12">
        <f>C19+C22+C25+C28</f>
        <v>-1616970</v>
      </c>
      <c r="D31" s="12">
        <f>D19+D22+D25</f>
        <v>-21014482</v>
      </c>
      <c r="E31" s="12">
        <f>E19+E22+E25</f>
        <v>-32341319</v>
      </c>
      <c r="F31" s="12">
        <f>F19+F22+F25</f>
        <v>-49593549</v>
      </c>
      <c r="G31" s="12">
        <f>G19+G22+G25</f>
        <v>-55335084</v>
      </c>
      <c r="H31" s="12">
        <f>H19+H22+H25</f>
        <v>-68693370</v>
      </c>
      <c r="I31" s="70">
        <f>I19+I22+I25</f>
        <v>-101803750</v>
      </c>
      <c r="J31" s="95">
        <f>J19+J22+J25</f>
        <v>-121575840</v>
      </c>
      <c r="K31" s="95">
        <f>K19+K22+K25</f>
        <v>-137709000</v>
      </c>
      <c r="L31" s="95">
        <f>L19+L22+L25</f>
        <v>-165477880</v>
      </c>
      <c r="M31" s="95">
        <f>M19+M22+M25</f>
        <v>-173371100</v>
      </c>
      <c r="N31" s="95">
        <f>N19+N22+N25</f>
        <v>-179605200</v>
      </c>
      <c r="O31" s="95">
        <f>O19+O22+O25</f>
        <v>-186179100</v>
      </c>
      <c r="P31" s="95">
        <f>P19+P22+P25</f>
        <v>-191206400</v>
      </c>
      <c r="Q31" s="95">
        <f>Q19+Q22+Q25</f>
        <v>-209473600</v>
      </c>
      <c r="R31" s="95">
        <f>R19+R22+R25</f>
        <v>-222868800.00000003</v>
      </c>
    </row>
    <row r="32" spans="1:18" x14ac:dyDescent="0.25">
      <c r="A32" s="1"/>
      <c r="B32" s="14" t="s">
        <v>21</v>
      </c>
      <c r="C32" s="15">
        <f>C31/C11</f>
        <v>-0.92712129517291675</v>
      </c>
      <c r="D32" s="15">
        <f>D31/D11</f>
        <v>-1.6017147878923688</v>
      </c>
      <c r="E32" s="15">
        <f>E31/E11</f>
        <v>-1.0729693224903047</v>
      </c>
      <c r="F32" s="15">
        <f>F31/F11</f>
        <v>-0.83361899984140686</v>
      </c>
      <c r="G32" s="15">
        <f>G31/G11</f>
        <v>-0.58898477837223506</v>
      </c>
      <c r="H32" s="15">
        <f>H31/H11</f>
        <v>-0.52615378796555445</v>
      </c>
      <c r="I32" s="20">
        <f>I31/I11</f>
        <v>-0.57499999999999996</v>
      </c>
      <c r="J32" s="54">
        <f>J31/J11</f>
        <v>-0.56399999999999995</v>
      </c>
      <c r="K32" s="54">
        <f>K31/K11</f>
        <v>-0.55000000000000004</v>
      </c>
      <c r="L32" s="54">
        <f>L31/L11</f>
        <v>-0.60399999999999998</v>
      </c>
      <c r="M32" s="54">
        <f>M31/M11</f>
        <v>-0.59499999999999997</v>
      </c>
      <c r="N32" s="54">
        <f>N31/N11</f>
        <v>-0.58199999999999996</v>
      </c>
      <c r="O32" s="54">
        <f>O31/O11</f>
        <v>-0.56999999999999995</v>
      </c>
      <c r="P32" s="54">
        <f>P31/P11</f>
        <v>-0.56000000000000005</v>
      </c>
      <c r="Q32" s="54">
        <f>Q31/Q11</f>
        <v>-0.56000000000000005</v>
      </c>
      <c r="R32" s="54">
        <f>R31/R11</f>
        <v>-0.55999999999999994</v>
      </c>
    </row>
    <row r="33" spans="1:86" x14ac:dyDescent="0.25">
      <c r="A33" s="1"/>
      <c r="B33" s="1"/>
      <c r="C33" s="15"/>
      <c r="D33" s="15"/>
      <c r="E33" s="15"/>
      <c r="F33" s="15"/>
      <c r="G33" s="15"/>
      <c r="H33" s="15"/>
      <c r="I33" s="20"/>
      <c r="J33" s="54"/>
      <c r="K33" s="54"/>
      <c r="L33" s="54"/>
      <c r="M33" s="54"/>
      <c r="N33" s="54"/>
      <c r="O33" s="54"/>
      <c r="P33" s="54"/>
      <c r="Q33" s="54"/>
      <c r="R33" s="54"/>
    </row>
    <row r="34" spans="1:86" x14ac:dyDescent="0.25">
      <c r="A34" s="1"/>
      <c r="B34" s="1" t="s">
        <v>17</v>
      </c>
      <c r="C34" s="12">
        <f>C16+C31</f>
        <v>-595724</v>
      </c>
      <c r="D34" s="12">
        <f t="shared" ref="D34:R34" si="16">D16+D31</f>
        <v>-10799741</v>
      </c>
      <c r="E34" s="12">
        <f t="shared" si="16"/>
        <v>-8538211</v>
      </c>
      <c r="F34" s="12">
        <f t="shared" si="16"/>
        <v>-9380325</v>
      </c>
      <c r="G34" s="12">
        <f t="shared" si="16"/>
        <v>6896762</v>
      </c>
      <c r="H34" s="12">
        <f t="shared" si="16"/>
        <v>30401921</v>
      </c>
      <c r="I34" s="70">
        <f t="shared" si="16"/>
        <v>31550310</v>
      </c>
      <c r="J34" s="95">
        <f t="shared" si="16"/>
        <v>39576816</v>
      </c>
      <c r="K34" s="95">
        <f t="shared" si="16"/>
        <v>50601798</v>
      </c>
      <c r="L34" s="95">
        <f t="shared" si="16"/>
        <v>46300930</v>
      </c>
      <c r="M34" s="95">
        <f t="shared" si="16"/>
        <v>53031160</v>
      </c>
      <c r="N34" s="95">
        <f t="shared" si="16"/>
        <v>61411400</v>
      </c>
      <c r="O34" s="95">
        <f t="shared" si="16"/>
        <v>70225450</v>
      </c>
      <c r="P34" s="95">
        <f t="shared" si="16"/>
        <v>78189760</v>
      </c>
      <c r="Q34" s="95">
        <f t="shared" si="16"/>
        <v>87155980</v>
      </c>
      <c r="R34" s="95">
        <f t="shared" si="16"/>
        <v>94321260.00000003</v>
      </c>
    </row>
    <row r="35" spans="1:86" x14ac:dyDescent="0.25">
      <c r="A35" s="1"/>
      <c r="B35" s="1" t="s">
        <v>18</v>
      </c>
      <c r="C35" s="90">
        <f>SUM('Raw IS'!M22:M25)</f>
        <v>70609</v>
      </c>
      <c r="D35" s="90">
        <f>SUM('Raw IS'!N22:N25)</f>
        <v>582616</v>
      </c>
      <c r="E35" s="90">
        <f>SUM('Raw IS'!O22:O25)</f>
        <v>1541932</v>
      </c>
      <c r="F35" s="90">
        <f>SUM('Raw IS'!E16:E19)</f>
        <v>2116929</v>
      </c>
      <c r="G35" s="90">
        <f>SUM('Raw IS'!F16:F19)</f>
        <v>2558665</v>
      </c>
      <c r="H35" s="90">
        <f>SUM('Raw IS'!G16:G19)</f>
        <v>6017093</v>
      </c>
      <c r="I35" s="13">
        <f>I36*I11</f>
        <v>7967250</v>
      </c>
      <c r="J35" s="94">
        <f t="shared" ref="J35:R35" si="17">J36*J11</f>
        <v>9700200</v>
      </c>
      <c r="K35" s="94">
        <f t="shared" si="17"/>
        <v>11267100</v>
      </c>
      <c r="L35" s="94">
        <f t="shared" si="17"/>
        <v>12328650</v>
      </c>
      <c r="M35" s="94">
        <f t="shared" si="17"/>
        <v>13112100</v>
      </c>
      <c r="N35" s="94">
        <f t="shared" si="17"/>
        <v>13887000</v>
      </c>
      <c r="O35" s="94">
        <f t="shared" si="17"/>
        <v>14698350</v>
      </c>
      <c r="P35" s="94">
        <f t="shared" si="17"/>
        <v>15364800</v>
      </c>
      <c r="Q35" s="94">
        <f t="shared" si="17"/>
        <v>16832700</v>
      </c>
      <c r="R35" s="94">
        <f t="shared" si="17"/>
        <v>17909100.000000004</v>
      </c>
    </row>
    <row r="36" spans="1:86" x14ac:dyDescent="0.25">
      <c r="A36" s="1"/>
      <c r="B36" s="1" t="s">
        <v>21</v>
      </c>
      <c r="C36" s="91">
        <f>C35/C11</f>
        <v>4.0485047669940988E-2</v>
      </c>
      <c r="D36" s="91">
        <f t="shared" ref="D36:H36" si="18">D35/D11</f>
        <v>4.4406741163674671E-2</v>
      </c>
      <c r="E36" s="91">
        <f t="shared" si="18"/>
        <v>5.1155790317832135E-2</v>
      </c>
      <c r="F36" s="91">
        <f t="shared" si="18"/>
        <v>3.5583503727778583E-2</v>
      </c>
      <c r="G36" s="91">
        <f t="shared" si="18"/>
        <v>2.7234344452315186E-2</v>
      </c>
      <c r="H36" s="91">
        <f t="shared" si="18"/>
        <v>4.6087654084972417E-2</v>
      </c>
      <c r="I36" s="99">
        <v>4.4999999999999998E-2</v>
      </c>
      <c r="J36" s="96">
        <v>4.4999999999999998E-2</v>
      </c>
      <c r="K36" s="96">
        <v>4.4999999999999998E-2</v>
      </c>
      <c r="L36" s="96">
        <v>4.4999999999999998E-2</v>
      </c>
      <c r="M36" s="96">
        <v>4.4999999999999998E-2</v>
      </c>
      <c r="N36" s="96">
        <v>4.4999999999999998E-2</v>
      </c>
      <c r="O36" s="96">
        <v>4.4999999999999998E-2</v>
      </c>
      <c r="P36" s="96">
        <v>4.4999999999999998E-2</v>
      </c>
      <c r="Q36" s="96">
        <v>4.4999999999999998E-2</v>
      </c>
      <c r="R36" s="96">
        <v>4.4999999999999998E-2</v>
      </c>
    </row>
    <row r="37" spans="1:86" x14ac:dyDescent="0.25">
      <c r="A37" s="1"/>
      <c r="B37" s="1"/>
      <c r="C37" s="23"/>
      <c r="D37" s="23"/>
      <c r="E37" s="23"/>
      <c r="F37" s="23"/>
      <c r="G37" s="23"/>
      <c r="H37" s="23"/>
      <c r="I37" s="13"/>
      <c r="J37" s="94"/>
      <c r="K37" s="94"/>
      <c r="L37" s="94"/>
      <c r="M37" s="94"/>
      <c r="N37" s="94"/>
      <c r="O37" s="94"/>
      <c r="P37" s="94"/>
      <c r="Q37" s="94"/>
      <c r="R37" s="94"/>
    </row>
    <row r="38" spans="1:86" x14ac:dyDescent="0.25">
      <c r="A38" s="1"/>
      <c r="B38" s="1" t="s">
        <v>19</v>
      </c>
      <c r="C38" s="12">
        <f>C34+C35</f>
        <v>-525115</v>
      </c>
      <c r="D38" s="12">
        <f t="shared" ref="D38:R38" si="19">D34+D35</f>
        <v>-10217125</v>
      </c>
      <c r="E38" s="12">
        <f t="shared" si="19"/>
        <v>-6996279</v>
      </c>
      <c r="F38" s="12">
        <f t="shared" si="19"/>
        <v>-7263396</v>
      </c>
      <c r="G38" s="12">
        <f t="shared" si="19"/>
        <v>9455427</v>
      </c>
      <c r="H38" s="12">
        <f t="shared" si="19"/>
        <v>36419014</v>
      </c>
      <c r="I38" s="70">
        <f t="shared" si="19"/>
        <v>39517560</v>
      </c>
      <c r="J38" s="95">
        <f t="shared" si="19"/>
        <v>49277016</v>
      </c>
      <c r="K38" s="95">
        <f t="shared" si="19"/>
        <v>61868898</v>
      </c>
      <c r="L38" s="95">
        <f t="shared" si="19"/>
        <v>58629580</v>
      </c>
      <c r="M38" s="95">
        <f t="shared" si="19"/>
        <v>66143260</v>
      </c>
      <c r="N38" s="95">
        <f t="shared" si="19"/>
        <v>75298400</v>
      </c>
      <c r="O38" s="95">
        <f t="shared" si="19"/>
        <v>84923800</v>
      </c>
      <c r="P38" s="95">
        <f t="shared" si="19"/>
        <v>93554560</v>
      </c>
      <c r="Q38" s="95">
        <f t="shared" si="19"/>
        <v>103988680</v>
      </c>
      <c r="R38" s="95">
        <f t="shared" si="19"/>
        <v>112230360.00000003</v>
      </c>
    </row>
    <row r="39" spans="1:86" x14ac:dyDescent="0.25">
      <c r="A39" s="1"/>
      <c r="B39" s="1"/>
      <c r="C39" s="23"/>
      <c r="D39" s="23"/>
      <c r="E39" s="23"/>
      <c r="F39" s="23"/>
      <c r="G39" s="23"/>
      <c r="H39" s="23"/>
      <c r="I39" s="13"/>
      <c r="J39" s="94"/>
      <c r="K39" s="94"/>
      <c r="L39" s="94"/>
      <c r="M39" s="94"/>
      <c r="N39" s="94"/>
      <c r="O39" s="94"/>
      <c r="P39" s="94"/>
      <c r="Q39" s="94"/>
      <c r="R39" s="94"/>
    </row>
    <row r="40" spans="1:86" x14ac:dyDescent="0.25">
      <c r="A40" s="1"/>
      <c r="B40" s="1" t="s">
        <v>20</v>
      </c>
      <c r="C40" s="12">
        <f t="shared" ref="C40:H40" si="20">C34</f>
        <v>-595724</v>
      </c>
      <c r="D40" s="12">
        <f t="shared" si="20"/>
        <v>-10799741</v>
      </c>
      <c r="E40" s="12">
        <f t="shared" si="20"/>
        <v>-8538211</v>
      </c>
      <c r="F40" s="12">
        <f t="shared" si="20"/>
        <v>-9380325</v>
      </c>
      <c r="G40" s="12">
        <f t="shared" si="20"/>
        <v>6896762</v>
      </c>
      <c r="H40" s="12">
        <f t="shared" si="20"/>
        <v>30401921</v>
      </c>
      <c r="I40" s="13">
        <f>I41*I11</f>
        <v>22131250</v>
      </c>
      <c r="J40" s="94">
        <f>J41*J11</f>
        <v>28022800</v>
      </c>
      <c r="K40" s="94">
        <f>K41*K11</f>
        <v>35053200</v>
      </c>
      <c r="L40" s="94">
        <f>L41*L11</f>
        <v>49314600</v>
      </c>
      <c r="M40" s="94">
        <f>M41*M11</f>
        <v>52448400</v>
      </c>
      <c r="N40" s="94">
        <f>N41*N11</f>
        <v>61720000</v>
      </c>
      <c r="O40" s="94">
        <f>O41*O11</f>
        <v>65326000</v>
      </c>
      <c r="P40" s="94">
        <f>P41*P11</f>
        <v>68288000</v>
      </c>
      <c r="Q40" s="94">
        <f>Q41*Q11</f>
        <v>74812000</v>
      </c>
      <c r="R40" s="94">
        <f>R41*R11</f>
        <v>79596000.000000015</v>
      </c>
    </row>
    <row r="41" spans="1:86" x14ac:dyDescent="0.25">
      <c r="A41" s="1"/>
      <c r="B41" s="14" t="s">
        <v>21</v>
      </c>
      <c r="C41" s="15">
        <f>C40/C11</f>
        <v>-0.34156997745511092</v>
      </c>
      <c r="D41" s="15">
        <f>D40/D11</f>
        <v>-0.82315161825580663</v>
      </c>
      <c r="E41" s="15">
        <f>E40/E11</f>
        <v>-0.2832673111430386</v>
      </c>
      <c r="F41" s="15">
        <f>F40/F11</f>
        <v>-0.15767407863243152</v>
      </c>
      <c r="G41" s="15">
        <f>G40/G11</f>
        <v>7.3408903437393397E-2</v>
      </c>
      <c r="H41" s="15">
        <f>H40/H11</f>
        <v>0.23286215097002136</v>
      </c>
      <c r="I41" s="20">
        <v>0.125</v>
      </c>
      <c r="J41" s="54">
        <v>0.13</v>
      </c>
      <c r="K41" s="54">
        <v>0.14000000000000001</v>
      </c>
      <c r="L41" s="54">
        <v>0.18</v>
      </c>
      <c r="M41" s="54">
        <v>0.18</v>
      </c>
      <c r="N41" s="54">
        <v>0.2</v>
      </c>
      <c r="O41" s="54">
        <v>0.2</v>
      </c>
      <c r="P41" s="54">
        <v>0.2</v>
      </c>
      <c r="Q41" s="54">
        <v>0.2</v>
      </c>
      <c r="R41" s="54">
        <v>0.2</v>
      </c>
    </row>
    <row r="42" spans="1:86" x14ac:dyDescent="0.25">
      <c r="A42" s="1"/>
      <c r="B42" s="14"/>
      <c r="C42" s="1"/>
      <c r="D42" s="1"/>
      <c r="F42" s="1"/>
      <c r="G42" s="1"/>
      <c r="H42" s="1"/>
      <c r="I42" s="13"/>
      <c r="J42" s="94"/>
      <c r="K42" s="94"/>
      <c r="L42" s="94"/>
      <c r="M42" s="94"/>
      <c r="N42" s="94"/>
      <c r="O42" s="94"/>
      <c r="P42" s="94"/>
      <c r="Q42" s="94"/>
      <c r="R42" s="94"/>
    </row>
    <row r="43" spans="1:86" x14ac:dyDescent="0.25">
      <c r="A43" s="1"/>
      <c r="B43" s="1" t="s">
        <v>22</v>
      </c>
      <c r="C43" s="12">
        <v>0</v>
      </c>
      <c r="D43" s="12">
        <v>0</v>
      </c>
      <c r="E43" s="24">
        <v>0</v>
      </c>
      <c r="F43" s="12">
        <v>0</v>
      </c>
      <c r="G43" s="12">
        <f>'Raw IS'!F22</f>
        <v>-1933585</v>
      </c>
      <c r="H43" s="12">
        <f>'Raw IS'!G22</f>
        <v>-4725667</v>
      </c>
      <c r="I43" s="21">
        <f>I44*I40</f>
        <v>-4426250</v>
      </c>
      <c r="J43" s="93">
        <f t="shared" ref="J43:R43" si="21">J44*J40</f>
        <v>-4483648</v>
      </c>
      <c r="K43" s="93">
        <f t="shared" si="21"/>
        <v>-5608512</v>
      </c>
      <c r="L43" s="93">
        <f t="shared" si="21"/>
        <v>-7890336</v>
      </c>
      <c r="M43" s="93">
        <f t="shared" si="21"/>
        <v>-8391744</v>
      </c>
      <c r="N43" s="93">
        <f t="shared" si="21"/>
        <v>-9875200</v>
      </c>
      <c r="O43" s="93">
        <f t="shared" si="21"/>
        <v>-10452160</v>
      </c>
      <c r="P43" s="93">
        <f t="shared" si="21"/>
        <v>-10926080</v>
      </c>
      <c r="Q43" s="93">
        <f t="shared" si="21"/>
        <v>-11969920</v>
      </c>
      <c r="R43" s="93">
        <f t="shared" si="21"/>
        <v>-12735360.000000002</v>
      </c>
    </row>
    <row r="44" spans="1:86" x14ac:dyDescent="0.25">
      <c r="A44" s="1"/>
      <c r="B44" s="14" t="s">
        <v>23</v>
      </c>
      <c r="C44" s="22">
        <f>C43/C40</f>
        <v>0</v>
      </c>
      <c r="D44" s="22">
        <f t="shared" ref="D44:F44" si="22">D43/D40</f>
        <v>0</v>
      </c>
      <c r="E44" s="22">
        <f t="shared" si="22"/>
        <v>0</v>
      </c>
      <c r="F44" s="22">
        <f t="shared" si="22"/>
        <v>0</v>
      </c>
      <c r="G44" s="22">
        <f>G43/G40</f>
        <v>-0.28036127678467082</v>
      </c>
      <c r="H44" s="22">
        <f>H43/H40</f>
        <v>-0.15543975000790247</v>
      </c>
      <c r="I44" s="100">
        <v>-0.2</v>
      </c>
      <c r="J44" s="101">
        <v>-0.16</v>
      </c>
      <c r="K44" s="101">
        <v>-0.16</v>
      </c>
      <c r="L44" s="101">
        <v>-0.16</v>
      </c>
      <c r="M44" s="101">
        <v>-0.16</v>
      </c>
      <c r="N44" s="101">
        <v>-0.16</v>
      </c>
      <c r="O44" s="101">
        <v>-0.16</v>
      </c>
      <c r="P44" s="101">
        <v>-0.16</v>
      </c>
      <c r="Q44" s="101">
        <v>-0.16</v>
      </c>
      <c r="R44" s="101">
        <v>-0.16</v>
      </c>
    </row>
    <row r="45" spans="1:86" x14ac:dyDescent="0.25">
      <c r="A45" s="1"/>
      <c r="B45" s="1"/>
      <c r="C45" s="1"/>
      <c r="D45" s="1"/>
      <c r="E45" s="1"/>
      <c r="F45" s="1"/>
      <c r="G45" s="1"/>
      <c r="H45" s="1"/>
      <c r="I45" s="13"/>
      <c r="J45" s="94"/>
      <c r="K45" s="94"/>
      <c r="L45" s="94"/>
      <c r="M45" s="94"/>
      <c r="N45" s="94"/>
      <c r="O45" s="94"/>
      <c r="P45" s="94"/>
      <c r="Q45" s="94"/>
      <c r="R45" s="94"/>
    </row>
    <row r="46" spans="1:86" x14ac:dyDescent="0.25">
      <c r="A46" s="1"/>
      <c r="B46" s="10" t="s">
        <v>24</v>
      </c>
      <c r="C46" s="10">
        <v>2017</v>
      </c>
      <c r="D46" s="10">
        <f>C46+1</f>
        <v>2018</v>
      </c>
      <c r="E46" s="10">
        <f>D46+1</f>
        <v>2019</v>
      </c>
      <c r="F46" s="10">
        <v>2020</v>
      </c>
      <c r="G46" s="10">
        <v>2021</v>
      </c>
      <c r="H46" s="10">
        <v>2022</v>
      </c>
      <c r="I46" s="71">
        <v>2023</v>
      </c>
      <c r="J46" s="97">
        <v>2024</v>
      </c>
      <c r="K46" s="97">
        <v>2025</v>
      </c>
      <c r="L46" s="97">
        <v>2026</v>
      </c>
      <c r="M46" s="97">
        <v>2027</v>
      </c>
      <c r="N46" s="97">
        <v>2028</v>
      </c>
      <c r="O46" s="97">
        <v>2029</v>
      </c>
      <c r="P46" s="97">
        <v>2030</v>
      </c>
      <c r="Q46" s="97">
        <v>2031</v>
      </c>
      <c r="R46" s="97">
        <v>2032</v>
      </c>
      <c r="S46" s="10">
        <v>2033</v>
      </c>
      <c r="T46" s="10">
        <v>2034</v>
      </c>
      <c r="U46" s="10">
        <v>2035</v>
      </c>
      <c r="V46" s="10">
        <v>2036</v>
      </c>
      <c r="W46" s="10">
        <v>2037</v>
      </c>
      <c r="X46" s="10">
        <v>2038</v>
      </c>
      <c r="Y46" s="10">
        <v>2039</v>
      </c>
      <c r="Z46" s="10">
        <v>2040</v>
      </c>
      <c r="AA46" s="10">
        <v>2041</v>
      </c>
      <c r="AB46" s="10">
        <v>2042</v>
      </c>
      <c r="AC46" s="10">
        <v>2043</v>
      </c>
      <c r="AD46" s="10">
        <v>2044</v>
      </c>
      <c r="AE46" s="10">
        <v>2045</v>
      </c>
      <c r="AF46" s="10">
        <v>2046</v>
      </c>
      <c r="AG46" s="10">
        <v>2047</v>
      </c>
      <c r="AH46" s="10">
        <v>2048</v>
      </c>
      <c r="AI46" s="10">
        <v>2049</v>
      </c>
      <c r="AJ46" s="10">
        <v>2050</v>
      </c>
      <c r="AK46" s="10">
        <v>2051</v>
      </c>
      <c r="AL46" s="10">
        <v>2052</v>
      </c>
      <c r="AM46" s="10">
        <v>2053</v>
      </c>
      <c r="AN46" s="10">
        <v>2054</v>
      </c>
      <c r="AO46" s="10">
        <v>2055</v>
      </c>
      <c r="AP46" s="10">
        <v>2056</v>
      </c>
      <c r="AQ46" s="10">
        <v>2057</v>
      </c>
      <c r="AR46" s="10">
        <v>2058</v>
      </c>
      <c r="AS46" s="10">
        <v>2059</v>
      </c>
      <c r="AT46" s="10">
        <v>2060</v>
      </c>
      <c r="AU46" s="10">
        <v>2061</v>
      </c>
      <c r="AV46" s="10">
        <v>2062</v>
      </c>
      <c r="AW46" s="10">
        <v>2063</v>
      </c>
      <c r="AX46" s="10">
        <v>2064</v>
      </c>
      <c r="AY46" s="10">
        <v>2065</v>
      </c>
      <c r="AZ46" s="10">
        <v>2066</v>
      </c>
      <c r="BA46" s="10">
        <v>2067</v>
      </c>
      <c r="BB46" s="10">
        <v>2068</v>
      </c>
      <c r="BC46" s="10">
        <v>2069</v>
      </c>
      <c r="BD46" s="10">
        <v>2070</v>
      </c>
      <c r="BE46" s="10">
        <v>2071</v>
      </c>
      <c r="BF46" s="10">
        <v>2072</v>
      </c>
      <c r="BG46" s="10">
        <v>2073</v>
      </c>
      <c r="BH46" s="10">
        <v>2074</v>
      </c>
      <c r="BI46" s="10">
        <v>2075</v>
      </c>
      <c r="BJ46" s="10">
        <v>2076</v>
      </c>
      <c r="BK46" s="10">
        <v>2077</v>
      </c>
      <c r="BL46" s="10">
        <v>2078</v>
      </c>
      <c r="BM46" s="10">
        <v>2079</v>
      </c>
      <c r="BN46" s="10">
        <v>2080</v>
      </c>
      <c r="BO46" s="10">
        <v>2081</v>
      </c>
      <c r="BP46" s="10">
        <v>2082</v>
      </c>
      <c r="BQ46" s="10">
        <v>2083</v>
      </c>
      <c r="BR46" s="10">
        <v>2084</v>
      </c>
      <c r="BS46" s="10">
        <v>2085</v>
      </c>
      <c r="BT46" s="10">
        <v>2086</v>
      </c>
      <c r="BU46" s="10">
        <v>2087</v>
      </c>
      <c r="BV46" s="10">
        <v>2088</v>
      </c>
      <c r="BW46" s="10">
        <v>2089</v>
      </c>
      <c r="BX46" s="10">
        <v>2090</v>
      </c>
      <c r="BY46" s="10">
        <v>2091</v>
      </c>
      <c r="BZ46" s="10">
        <v>2092</v>
      </c>
      <c r="CA46" s="10">
        <v>2093</v>
      </c>
      <c r="CB46" s="10">
        <v>2094</v>
      </c>
      <c r="CC46" s="10">
        <v>2095</v>
      </c>
      <c r="CD46" s="10">
        <v>2096</v>
      </c>
      <c r="CE46" s="10">
        <v>2097</v>
      </c>
      <c r="CF46" s="10">
        <v>2098</v>
      </c>
      <c r="CG46" s="10">
        <v>2099</v>
      </c>
      <c r="CH46" s="10">
        <v>2100</v>
      </c>
    </row>
    <row r="47" spans="1:86" x14ac:dyDescent="0.25">
      <c r="A47" s="1"/>
      <c r="B47" s="1" t="s">
        <v>25</v>
      </c>
      <c r="C47" s="12">
        <f>'Raw CF'!I7</f>
        <v>2265</v>
      </c>
      <c r="D47" s="12">
        <f>'Raw CF'!J7</f>
        <v>497003</v>
      </c>
      <c r="E47" s="12">
        <f>'Raw CF'!K7</f>
        <v>637831</v>
      </c>
      <c r="F47" s="12">
        <f>'Raw CF'!C8</f>
        <v>651523</v>
      </c>
      <c r="G47" s="12">
        <f>'Raw CF'!D8</f>
        <v>1495380</v>
      </c>
      <c r="H47" s="12">
        <f>'Raw CF'!E8</f>
        <v>2224169</v>
      </c>
      <c r="I47" s="21">
        <f>I48*I11</f>
        <v>1770000</v>
      </c>
      <c r="J47" s="93">
        <f t="shared" ref="J47:R47" si="23">J48*J11</f>
        <v>1950000.0000000002</v>
      </c>
      <c r="K47" s="93">
        <f t="shared" si="23"/>
        <v>2380000</v>
      </c>
      <c r="L47" s="93">
        <f t="shared" si="23"/>
        <v>2210000</v>
      </c>
      <c r="M47" s="93">
        <f t="shared" si="23"/>
        <v>2350000</v>
      </c>
      <c r="N47" s="93">
        <f t="shared" si="23"/>
        <v>2460000</v>
      </c>
      <c r="O47" s="93">
        <f t="shared" si="23"/>
        <v>2559999.9999999995</v>
      </c>
      <c r="P47" s="93">
        <f t="shared" si="23"/>
        <v>2590000</v>
      </c>
      <c r="Q47" s="93">
        <f t="shared" si="23"/>
        <v>2560000</v>
      </c>
      <c r="R47" s="93">
        <f t="shared" si="23"/>
        <v>2450000</v>
      </c>
    </row>
    <row r="48" spans="1:86" x14ac:dyDescent="0.25">
      <c r="A48" s="1"/>
      <c r="B48" s="14" t="s">
        <v>21</v>
      </c>
      <c r="C48" s="15">
        <f>C47/C11</f>
        <v>1.2986819381724192E-3</v>
      </c>
      <c r="D48" s="15">
        <f>D47/D11</f>
        <v>3.7881355092496259E-2</v>
      </c>
      <c r="E48" s="15">
        <f>E47/E11</f>
        <v>2.1160951905929176E-2</v>
      </c>
      <c r="F48" s="15">
        <f>F47/F11</f>
        <v>1.0951463700121017E-2</v>
      </c>
      <c r="G48" s="15">
        <f>G47/G11</f>
        <v>1.5916774570763691E-2</v>
      </c>
      <c r="H48" s="15">
        <f>H47/H11</f>
        <v>1.703592274517263E-2</v>
      </c>
      <c r="I48" s="20">
        <v>9.9971759390002825E-3</v>
      </c>
      <c r="J48" s="54">
        <v>9.0462052328817971E-3</v>
      </c>
      <c r="K48" s="54">
        <v>9.505551561626328E-3</v>
      </c>
      <c r="L48" s="54">
        <v>8.0665766324780081E-3</v>
      </c>
      <c r="M48" s="54">
        <v>8.0650696684741573E-3</v>
      </c>
      <c r="N48" s="54">
        <v>7.9714841218405698E-3</v>
      </c>
      <c r="O48" s="54">
        <v>7.8376144261090522E-3</v>
      </c>
      <c r="P48" s="54">
        <v>7.5855201499531394E-3</v>
      </c>
      <c r="Q48" s="54">
        <v>6.8438218467625515E-3</v>
      </c>
      <c r="R48" s="54">
        <v>6.1560882456404833E-3</v>
      </c>
    </row>
    <row r="49" spans="1:86" x14ac:dyDescent="0.25">
      <c r="A49" s="1"/>
      <c r="B49" s="1"/>
      <c r="C49" s="1"/>
      <c r="D49" s="1"/>
      <c r="F49" s="1"/>
      <c r="G49" s="1"/>
      <c r="H49" s="1"/>
      <c r="I49" s="13"/>
      <c r="J49" s="94"/>
      <c r="K49" s="94"/>
      <c r="L49" s="94"/>
      <c r="M49" s="94"/>
      <c r="N49" s="94"/>
      <c r="O49" s="94"/>
      <c r="P49" s="94"/>
      <c r="Q49" s="94"/>
      <c r="R49" s="94"/>
    </row>
    <row r="50" spans="1:86" x14ac:dyDescent="0.25">
      <c r="A50" s="1"/>
      <c r="B50" s="1" t="s">
        <v>26</v>
      </c>
      <c r="C50" s="12">
        <f>'Raw CF'!I35</f>
        <v>-8921</v>
      </c>
      <c r="D50" s="12">
        <f>'Raw CF'!J35</f>
        <v>-27331</v>
      </c>
      <c r="E50" s="12">
        <f>'Raw CF'!K35</f>
        <v>-27436</v>
      </c>
      <c r="F50" s="12">
        <f>'Raw CF'!C38</f>
        <v>-43046</v>
      </c>
      <c r="G50" s="12">
        <f>'Raw CF'!D38</f>
        <v>-3287232</v>
      </c>
      <c r="H50" s="12">
        <f>'Raw CF'!E38</f>
        <v>-635716</v>
      </c>
      <c r="I50" s="21">
        <v>-2220000</v>
      </c>
      <c r="J50" s="93">
        <v>-2250000</v>
      </c>
      <c r="K50" s="93">
        <v>-2680000</v>
      </c>
      <c r="L50" s="93">
        <v>-1010000</v>
      </c>
      <c r="M50" s="93">
        <v>-1130000</v>
      </c>
      <c r="N50" s="93">
        <v>-2070000</v>
      </c>
      <c r="O50" s="93">
        <v>-1390000</v>
      </c>
      <c r="P50" s="93">
        <v>-2490000</v>
      </c>
      <c r="Q50" s="93">
        <v>-1610000</v>
      </c>
      <c r="R50" s="93">
        <v>-2790000</v>
      </c>
    </row>
    <row r="51" spans="1:86" x14ac:dyDescent="0.25">
      <c r="A51" s="1"/>
      <c r="B51" s="14" t="s">
        <v>21</v>
      </c>
      <c r="C51" s="15">
        <f>C50/C11</f>
        <v>-5.1150293909210378E-3</v>
      </c>
      <c r="D51" s="15">
        <f>D50/D11</f>
        <v>-2.0831570755770394E-3</v>
      </c>
      <c r="E51" s="15">
        <f>E50/E11</f>
        <v>-9.1022837787920765E-4</v>
      </c>
      <c r="F51" s="15">
        <f>F50/F11</f>
        <v>-7.2356111209490579E-4</v>
      </c>
      <c r="G51" s="15">
        <f>G50/G11</f>
        <v>-3.4989187167008169E-2</v>
      </c>
      <c r="H51" s="15">
        <f>H50/H11</f>
        <v>-4.8692382026141734E-3</v>
      </c>
      <c r="I51" s="20">
        <f t="shared" ref="I51:R51" si="24">I50/I11</f>
        <v>-1.2538830838746117E-2</v>
      </c>
      <c r="J51" s="54">
        <f t="shared" si="24"/>
        <v>-1.043792911486361E-2</v>
      </c>
      <c r="K51" s="54">
        <f t="shared" si="24"/>
        <v>-1.0703730329898554E-2</v>
      </c>
      <c r="L51" s="54">
        <f t="shared" si="24"/>
        <v>-3.6865350220827097E-3</v>
      </c>
      <c r="M51" s="54">
        <f t="shared" si="24"/>
        <v>-3.8780973299471482E-3</v>
      </c>
      <c r="N51" s="54">
        <f t="shared" si="24"/>
        <v>-6.7077122488658457E-3</v>
      </c>
      <c r="O51" s="54">
        <f t="shared" si="24"/>
        <v>-4.2555797079263996E-3</v>
      </c>
      <c r="P51" s="54">
        <f t="shared" si="24"/>
        <v>-7.2926429240862227E-3</v>
      </c>
      <c r="Q51" s="54">
        <f t="shared" si="24"/>
        <v>-4.3041223333155111E-3</v>
      </c>
      <c r="R51" s="54">
        <f t="shared" si="24"/>
        <v>-7.0104025327905918E-3</v>
      </c>
    </row>
    <row r="52" spans="1:86" x14ac:dyDescent="0.25">
      <c r="A52" s="1"/>
      <c r="B52" s="1"/>
      <c r="C52" s="1"/>
      <c r="D52" s="1"/>
      <c r="F52" s="1"/>
      <c r="G52" s="1"/>
      <c r="H52" s="1"/>
      <c r="I52" s="13"/>
      <c r="J52" s="94"/>
      <c r="K52" s="94"/>
      <c r="L52" s="94"/>
      <c r="M52" s="94"/>
      <c r="N52" s="94"/>
      <c r="O52" s="94"/>
      <c r="P52" s="94"/>
      <c r="Q52" s="94"/>
      <c r="R52" s="94"/>
    </row>
    <row r="53" spans="1:86" x14ac:dyDescent="0.25">
      <c r="A53" s="1"/>
      <c r="B53" s="1" t="s">
        <v>27</v>
      </c>
      <c r="C53" s="12">
        <f>SUM('Raw CF'!I17:I28)-'Raw CF'!I22-'Raw CF'!I24</f>
        <v>-92027</v>
      </c>
      <c r="D53" s="12">
        <f>SUM('Raw CF'!J17:J28)-'Raw CF'!J22-'Raw CF'!J24</f>
        <v>874972</v>
      </c>
      <c r="E53" s="12">
        <f>SUM('Raw CF'!K17:K28)-'Raw CF'!K22-'Raw CF'!K24</f>
        <v>2302185</v>
      </c>
      <c r="F53" s="24">
        <f>SUM('Raw CF'!C20:C30)-'Raw CF'!C25-'Raw CF'!C27</f>
        <v>4030099</v>
      </c>
      <c r="G53" s="24">
        <f>SUM('Raw CF'!D20:D30)-'Raw CF'!D25-'Raw CF'!D27</f>
        <v>2223979</v>
      </c>
      <c r="H53" s="24">
        <f>SUM('Raw CF'!E20:E30)-'Raw CF'!E25-'Raw CF'!E27</f>
        <v>5193365</v>
      </c>
      <c r="I53" s="21">
        <f>I54*I11</f>
        <v>6196750.0000000009</v>
      </c>
      <c r="J53" s="93">
        <f>J54*J11</f>
        <v>7544600.0000000009</v>
      </c>
      <c r="K53" s="93">
        <f>K54*K11</f>
        <v>8763300</v>
      </c>
      <c r="L53" s="93">
        <f>L54*L11</f>
        <v>9588950</v>
      </c>
      <c r="M53" s="93">
        <f>M54*M11</f>
        <v>10198300.000000002</v>
      </c>
      <c r="N53" s="93">
        <f>N54*N11</f>
        <v>10801000.000000002</v>
      </c>
      <c r="O53" s="93">
        <f>O54*O11</f>
        <v>11432050.000000002</v>
      </c>
      <c r="P53" s="93">
        <f>P54*P11</f>
        <v>11950400.000000002</v>
      </c>
      <c r="Q53" s="93">
        <f>Q54*Q11</f>
        <v>13092100.000000002</v>
      </c>
      <c r="R53" s="93">
        <f>R54*R11</f>
        <v>13929300.000000004</v>
      </c>
    </row>
    <row r="54" spans="1:86" x14ac:dyDescent="0.25">
      <c r="A54" s="1"/>
      <c r="B54" s="14" t="s">
        <v>21</v>
      </c>
      <c r="C54" s="15">
        <f>C53/C11</f>
        <v>-5.2765475816420847E-2</v>
      </c>
      <c r="D54" s="15">
        <f>D53/D11</f>
        <v>6.66899898551752E-2</v>
      </c>
      <c r="E54" s="15">
        <f>E53/E11</f>
        <v>7.637826644291601E-2</v>
      </c>
      <c r="F54" s="15">
        <f>F53/F11</f>
        <v>6.7742018173409094E-2</v>
      </c>
      <c r="G54" s="15">
        <f>G53/G11</f>
        <v>2.3671957892383518E-2</v>
      </c>
      <c r="H54" s="15">
        <f>H53/H11</f>
        <v>3.9778346397006462E-2</v>
      </c>
      <c r="I54" s="72">
        <v>3.5000000000000003E-2</v>
      </c>
      <c r="J54" s="98">
        <v>3.5000000000000003E-2</v>
      </c>
      <c r="K54" s="98">
        <v>3.5000000000000003E-2</v>
      </c>
      <c r="L54" s="98">
        <v>3.5000000000000003E-2</v>
      </c>
      <c r="M54" s="98">
        <v>3.5000000000000003E-2</v>
      </c>
      <c r="N54" s="98">
        <v>3.5000000000000003E-2</v>
      </c>
      <c r="O54" s="98">
        <v>3.5000000000000003E-2</v>
      </c>
      <c r="P54" s="98">
        <v>3.5000000000000003E-2</v>
      </c>
      <c r="Q54" s="98">
        <v>3.5000000000000003E-2</v>
      </c>
      <c r="R54" s="98">
        <v>3.5000000000000003E-2</v>
      </c>
    </row>
    <row r="55" spans="1:86" x14ac:dyDescent="0.25">
      <c r="A55" s="1"/>
      <c r="B55" s="1"/>
      <c r="C55" s="1"/>
      <c r="D55" s="1"/>
      <c r="E55" s="1"/>
      <c r="F55" s="1"/>
      <c r="G55" s="1"/>
      <c r="H55" s="1"/>
      <c r="I55" s="13"/>
      <c r="J55" s="94"/>
      <c r="K55" s="94"/>
      <c r="L55" s="94"/>
      <c r="M55" s="94"/>
      <c r="N55" s="94"/>
      <c r="O55" s="94"/>
      <c r="P55" s="94"/>
      <c r="Q55" s="94"/>
      <c r="R55" s="94"/>
    </row>
    <row r="56" spans="1:86" x14ac:dyDescent="0.25">
      <c r="A56" s="1"/>
      <c r="B56" s="10" t="s">
        <v>28</v>
      </c>
      <c r="C56" s="12">
        <f>C40+C43</f>
        <v>-595724</v>
      </c>
      <c r="D56" s="12">
        <f t="shared" ref="D56:H56" si="25">D40+D43</f>
        <v>-10799741</v>
      </c>
      <c r="E56" s="12">
        <f t="shared" si="25"/>
        <v>-8538211</v>
      </c>
      <c r="F56" s="12">
        <f t="shared" si="25"/>
        <v>-9380325</v>
      </c>
      <c r="G56" s="12">
        <f t="shared" si="25"/>
        <v>4963177</v>
      </c>
      <c r="H56" s="12">
        <f>H40+H43</f>
        <v>25676254</v>
      </c>
      <c r="I56" s="70">
        <f t="shared" ref="D56:R56" si="26">I40+I43</f>
        <v>17705000</v>
      </c>
      <c r="J56" s="95">
        <f t="shared" si="26"/>
        <v>23539152</v>
      </c>
      <c r="K56" s="95">
        <f t="shared" si="26"/>
        <v>29444688</v>
      </c>
      <c r="L56" s="95">
        <f t="shared" si="26"/>
        <v>41424264</v>
      </c>
      <c r="M56" s="95">
        <f t="shared" si="26"/>
        <v>44056656</v>
      </c>
      <c r="N56" s="95">
        <f t="shared" si="26"/>
        <v>51844800</v>
      </c>
      <c r="O56" s="95">
        <f t="shared" si="26"/>
        <v>54873840</v>
      </c>
      <c r="P56" s="95">
        <f t="shared" si="26"/>
        <v>57361920</v>
      </c>
      <c r="Q56" s="95">
        <f t="shared" si="26"/>
        <v>62842080</v>
      </c>
      <c r="R56" s="95">
        <f t="shared" si="26"/>
        <v>66860640.000000015</v>
      </c>
    </row>
    <row r="57" spans="1:86" x14ac:dyDescent="0.25">
      <c r="A57" s="1"/>
      <c r="B57" s="10" t="s">
        <v>204</v>
      </c>
      <c r="C57" s="12">
        <v>0</v>
      </c>
      <c r="D57" s="12">
        <v>0</v>
      </c>
      <c r="E57" s="12">
        <f>'Raw IS'!O28</f>
        <v>28676</v>
      </c>
      <c r="F57" s="12">
        <f>'Raw IS'!E23</f>
        <v>83654</v>
      </c>
      <c r="G57" s="12">
        <f>'Raw IS'!F23</f>
        <v>246828</v>
      </c>
      <c r="H57" s="12">
        <f>'Raw IS'!G23</f>
        <v>-155285</v>
      </c>
      <c r="I57" s="70">
        <v>0</v>
      </c>
      <c r="J57" s="95">
        <v>0</v>
      </c>
      <c r="K57" s="95">
        <v>0</v>
      </c>
      <c r="L57" s="95">
        <v>0</v>
      </c>
      <c r="M57" s="95">
        <v>0</v>
      </c>
      <c r="N57" s="95">
        <v>0</v>
      </c>
      <c r="O57" s="95">
        <v>0</v>
      </c>
      <c r="P57" s="95">
        <v>0</v>
      </c>
      <c r="Q57" s="95">
        <v>0</v>
      </c>
      <c r="R57" s="95">
        <v>0</v>
      </c>
    </row>
    <row r="58" spans="1:86" x14ac:dyDescent="0.25">
      <c r="A58" s="1"/>
      <c r="B58" s="10" t="s">
        <v>29</v>
      </c>
      <c r="C58" s="12">
        <f>C38+C43+C57</f>
        <v>-525115</v>
      </c>
      <c r="D58" s="12">
        <f t="shared" ref="D58:H58" si="27">D38+D43+D57</f>
        <v>-10217125</v>
      </c>
      <c r="E58" s="12">
        <f t="shared" si="27"/>
        <v>-6967603</v>
      </c>
      <c r="F58" s="12">
        <f t="shared" si="27"/>
        <v>-7179742</v>
      </c>
      <c r="G58" s="12">
        <f t="shared" si="27"/>
        <v>7768670</v>
      </c>
      <c r="H58" s="12">
        <f>H38+H43+H57</f>
        <v>31538062</v>
      </c>
      <c r="I58" s="70">
        <f>I38+I43+I57</f>
        <v>35091310</v>
      </c>
      <c r="J58" s="95">
        <f t="shared" ref="J58:R58" si="28">J38+J43+J57</f>
        <v>44793368</v>
      </c>
      <c r="K58" s="95">
        <f t="shared" si="28"/>
        <v>56260386</v>
      </c>
      <c r="L58" s="95">
        <f t="shared" si="28"/>
        <v>50739244</v>
      </c>
      <c r="M58" s="95">
        <f t="shared" si="28"/>
        <v>57751516</v>
      </c>
      <c r="N58" s="95">
        <f t="shared" si="28"/>
        <v>65423200</v>
      </c>
      <c r="O58" s="95">
        <f t="shared" si="28"/>
        <v>74471640</v>
      </c>
      <c r="P58" s="95">
        <f t="shared" si="28"/>
        <v>82628480</v>
      </c>
      <c r="Q58" s="95">
        <f t="shared" si="28"/>
        <v>92018760</v>
      </c>
      <c r="R58" s="95">
        <f t="shared" si="28"/>
        <v>99495000.00000003</v>
      </c>
      <c r="S58" s="66">
        <f>R58*(1+$E$6)</f>
        <v>102479850.00000003</v>
      </c>
      <c r="T58" s="66">
        <f t="shared" ref="T58:CE58" si="29">S58*(1+$E$6)</f>
        <v>105554245.50000003</v>
      </c>
      <c r="U58" s="66">
        <f t="shared" si="29"/>
        <v>108720872.86500004</v>
      </c>
      <c r="V58" s="66">
        <f t="shared" si="29"/>
        <v>111982499.05095005</v>
      </c>
      <c r="W58" s="66">
        <f t="shared" si="29"/>
        <v>115341974.02247855</v>
      </c>
      <c r="X58" s="66">
        <f t="shared" si="29"/>
        <v>118802233.24315292</v>
      </c>
      <c r="Y58" s="66">
        <f t="shared" si="29"/>
        <v>122366300.24044751</v>
      </c>
      <c r="Z58" s="66">
        <f t="shared" si="29"/>
        <v>126037289.24766093</v>
      </c>
      <c r="AA58" s="66">
        <f t="shared" si="29"/>
        <v>129818407.92509076</v>
      </c>
      <c r="AB58" s="66">
        <f t="shared" si="29"/>
        <v>133712960.16284348</v>
      </c>
      <c r="AC58" s="66">
        <f t="shared" si="29"/>
        <v>137724348.96772879</v>
      </c>
      <c r="AD58" s="66">
        <f t="shared" si="29"/>
        <v>141856079.43676066</v>
      </c>
      <c r="AE58" s="66">
        <f t="shared" si="29"/>
        <v>146111761.8198635</v>
      </c>
      <c r="AF58" s="66">
        <f t="shared" si="29"/>
        <v>150495114.6744594</v>
      </c>
      <c r="AG58" s="66">
        <f t="shared" si="29"/>
        <v>155009968.11469319</v>
      </c>
      <c r="AH58" s="66">
        <f t="shared" si="29"/>
        <v>159660267.15813398</v>
      </c>
      <c r="AI58" s="66">
        <f t="shared" si="29"/>
        <v>164450075.172878</v>
      </c>
      <c r="AJ58" s="66">
        <f t="shared" si="29"/>
        <v>169383577.42806435</v>
      </c>
      <c r="AK58" s="66">
        <f t="shared" si="29"/>
        <v>174465084.75090629</v>
      </c>
      <c r="AL58" s="66">
        <f t="shared" si="29"/>
        <v>179699037.29343349</v>
      </c>
      <c r="AM58" s="66">
        <f t="shared" si="29"/>
        <v>185090008.41223651</v>
      </c>
      <c r="AN58" s="66">
        <f t="shared" si="29"/>
        <v>190642708.66460362</v>
      </c>
      <c r="AO58" s="66">
        <f t="shared" si="29"/>
        <v>196361989.92454174</v>
      </c>
      <c r="AP58" s="66">
        <f t="shared" si="29"/>
        <v>202252849.622278</v>
      </c>
      <c r="AQ58" s="66">
        <f t="shared" si="29"/>
        <v>208320435.11094636</v>
      </c>
      <c r="AR58" s="66">
        <f t="shared" si="29"/>
        <v>214570048.16427475</v>
      </c>
      <c r="AS58" s="66">
        <f t="shared" si="29"/>
        <v>221007149.60920301</v>
      </c>
      <c r="AT58" s="66">
        <f t="shared" si="29"/>
        <v>227637364.0974791</v>
      </c>
      <c r="AU58" s="66">
        <f t="shared" si="29"/>
        <v>234466485.02040347</v>
      </c>
      <c r="AV58" s="66">
        <f t="shared" si="29"/>
        <v>241500479.5710156</v>
      </c>
      <c r="AW58" s="66">
        <f t="shared" si="29"/>
        <v>248745493.95814607</v>
      </c>
      <c r="AX58" s="66">
        <f t="shared" si="29"/>
        <v>256207858.77689046</v>
      </c>
      <c r="AY58" s="66">
        <f t="shared" si="29"/>
        <v>263894094.54019716</v>
      </c>
      <c r="AZ58" s="66">
        <f t="shared" si="29"/>
        <v>271810917.37640309</v>
      </c>
      <c r="BA58" s="66">
        <f t="shared" si="29"/>
        <v>279965244.89769518</v>
      </c>
      <c r="BB58" s="66">
        <f t="shared" si="29"/>
        <v>288364202.24462605</v>
      </c>
      <c r="BC58" s="66">
        <f t="shared" si="29"/>
        <v>297015128.31196481</v>
      </c>
      <c r="BD58" s="66">
        <f t="shared" si="29"/>
        <v>305925582.16132379</v>
      </c>
      <c r="BE58" s="66">
        <f t="shared" si="29"/>
        <v>315103349.62616348</v>
      </c>
      <c r="BF58" s="66">
        <f t="shared" si="29"/>
        <v>324556450.11494839</v>
      </c>
      <c r="BG58" s="66">
        <f t="shared" si="29"/>
        <v>334293143.61839688</v>
      </c>
      <c r="BH58" s="66">
        <f t="shared" si="29"/>
        <v>344321937.92694879</v>
      </c>
      <c r="BI58" s="66">
        <f t="shared" si="29"/>
        <v>354651596.06475729</v>
      </c>
      <c r="BJ58" s="66">
        <f t="shared" si="29"/>
        <v>365291143.94670004</v>
      </c>
      <c r="BK58" s="66">
        <f t="shared" si="29"/>
        <v>376249878.26510108</v>
      </c>
      <c r="BL58" s="66">
        <f t="shared" si="29"/>
        <v>387537374.6130541</v>
      </c>
      <c r="BM58" s="66">
        <f t="shared" si="29"/>
        <v>399163495.85144573</v>
      </c>
      <c r="BN58" s="66">
        <f t="shared" si="29"/>
        <v>411138400.72698909</v>
      </c>
      <c r="BO58" s="66">
        <f t="shared" si="29"/>
        <v>423472552.74879879</v>
      </c>
      <c r="BP58" s="66">
        <f t="shared" si="29"/>
        <v>436176729.33126277</v>
      </c>
      <c r="BQ58" s="66">
        <f t="shared" si="29"/>
        <v>449262031.21120065</v>
      </c>
      <c r="BR58" s="66">
        <f t="shared" si="29"/>
        <v>462739892.1475367</v>
      </c>
      <c r="BS58" s="66">
        <f t="shared" si="29"/>
        <v>476622088.91196281</v>
      </c>
      <c r="BT58" s="66">
        <f t="shared" si="29"/>
        <v>490920751.57932168</v>
      </c>
      <c r="BU58" s="66">
        <f t="shared" si="29"/>
        <v>505648374.12670135</v>
      </c>
      <c r="BV58" s="66">
        <f t="shared" si="29"/>
        <v>520817825.35050243</v>
      </c>
      <c r="BW58" s="66">
        <f t="shared" si="29"/>
        <v>536442360.11101753</v>
      </c>
      <c r="BX58" s="66">
        <f t="shared" si="29"/>
        <v>552535630.91434801</v>
      </c>
      <c r="BY58" s="66">
        <f t="shared" si="29"/>
        <v>569111699.84177852</v>
      </c>
      <c r="BZ58" s="66">
        <f t="shared" si="29"/>
        <v>586185050.83703184</v>
      </c>
      <c r="CA58" s="66">
        <f t="shared" si="29"/>
        <v>603770602.3621428</v>
      </c>
      <c r="CB58" s="66">
        <f t="shared" si="29"/>
        <v>621883720.43300712</v>
      </c>
      <c r="CC58" s="66">
        <f t="shared" si="29"/>
        <v>640540232.04599738</v>
      </c>
      <c r="CD58" s="66">
        <f t="shared" si="29"/>
        <v>659756439.00737727</v>
      </c>
      <c r="CE58" s="66">
        <f t="shared" si="29"/>
        <v>679549132.1775986</v>
      </c>
      <c r="CF58" s="66">
        <f t="shared" ref="CF58:CH58" si="30">CE58*(1+$E$6)</f>
        <v>699935606.14292657</v>
      </c>
      <c r="CG58" s="66">
        <f t="shared" si="30"/>
        <v>720933674.32721436</v>
      </c>
      <c r="CH58" s="66">
        <f t="shared" si="30"/>
        <v>742561684.5570308</v>
      </c>
    </row>
    <row r="59" spans="1:86" x14ac:dyDescent="0.25">
      <c r="A59" s="1"/>
      <c r="B59" s="6"/>
      <c r="C59" s="23"/>
      <c r="D59" s="23"/>
      <c r="E59" s="23"/>
      <c r="F59" s="23"/>
      <c r="G59" s="23"/>
      <c r="H59" s="23"/>
      <c r="I59" s="13"/>
      <c r="J59" s="94"/>
      <c r="K59" s="94"/>
      <c r="L59" s="94"/>
      <c r="M59" s="94"/>
      <c r="N59" s="94"/>
      <c r="O59" s="94"/>
      <c r="P59" s="94"/>
      <c r="Q59" s="94"/>
      <c r="R59" s="94"/>
    </row>
    <row r="60" spans="1:86" x14ac:dyDescent="0.25">
      <c r="A60" s="1"/>
      <c r="B60" s="10" t="s">
        <v>30</v>
      </c>
      <c r="C60" s="12">
        <f>C56+C47+C50-C53</f>
        <v>-510353</v>
      </c>
      <c r="D60" s="12">
        <f t="shared" ref="D60:F60" si="31">D56+D47+D50-D53</f>
        <v>-11205041</v>
      </c>
      <c r="E60" s="12">
        <f t="shared" si="31"/>
        <v>-10230001</v>
      </c>
      <c r="F60" s="12">
        <f t="shared" si="31"/>
        <v>-12801947</v>
      </c>
      <c r="G60" s="12">
        <f>G56+G47+G50-G53</f>
        <v>947346</v>
      </c>
      <c r="H60" s="12">
        <f>H56+H47+H50-H53</f>
        <v>22071342</v>
      </c>
      <c r="I60" s="70">
        <f>I56+I47+I50-I53</f>
        <v>11058250</v>
      </c>
      <c r="J60" s="95">
        <f t="shared" ref="J60:R60" si="32">J56+J47+J50-J53</f>
        <v>15694552</v>
      </c>
      <c r="K60" s="95">
        <f t="shared" si="32"/>
        <v>20381388</v>
      </c>
      <c r="L60" s="95">
        <f t="shared" si="32"/>
        <v>33035314</v>
      </c>
      <c r="M60" s="95">
        <f t="shared" si="32"/>
        <v>35078356</v>
      </c>
      <c r="N60" s="95">
        <f t="shared" si="32"/>
        <v>41433800</v>
      </c>
      <c r="O60" s="95">
        <f t="shared" si="32"/>
        <v>44611790</v>
      </c>
      <c r="P60" s="95">
        <f t="shared" si="32"/>
        <v>45511520</v>
      </c>
      <c r="Q60" s="95">
        <f t="shared" si="32"/>
        <v>50699980</v>
      </c>
      <c r="R60" s="95">
        <f t="shared" si="32"/>
        <v>52591340.000000015</v>
      </c>
    </row>
    <row r="61" spans="1:86" x14ac:dyDescent="0.25">
      <c r="A61" s="1"/>
      <c r="B61" s="25" t="s">
        <v>31</v>
      </c>
      <c r="C61" s="1"/>
      <c r="D61" s="1"/>
      <c r="E61" s="1"/>
      <c r="F61" s="1"/>
      <c r="G61" s="1"/>
      <c r="H61" s="1"/>
      <c r="I61" s="73">
        <f>I60/((1+$E$5)^I9)</f>
        <v>10249686.969204947</v>
      </c>
      <c r="J61" s="19">
        <f>J60/((1+$E$5)^J9)</f>
        <v>13483334.823659025</v>
      </c>
      <c r="K61" s="19">
        <f>K60/((1+$E$5)^K9)</f>
        <v>16229545.231058877</v>
      </c>
      <c r="L61" s="19">
        <f>L60/((1+$E$5)^L9)</f>
        <v>24382331.465068333</v>
      </c>
      <c r="M61" s="19">
        <f>M60/((1+$E$5)^M9)</f>
        <v>23997180.66374401</v>
      </c>
      <c r="N61" s="19">
        <f>N60/((1+$E$5)^N9)</f>
        <v>26272412.431543052</v>
      </c>
      <c r="O61" s="19">
        <f>O60/((1+$E$5)^O9)</f>
        <v>26219175.764785074</v>
      </c>
      <c r="P61" s="19">
        <f>P60/((1+$E$5)^P9)</f>
        <v>24792191.857374266</v>
      </c>
      <c r="Q61" s="19">
        <f>Q60/((1+$E$5)^Q9)</f>
        <v>25599151.446982082</v>
      </c>
      <c r="R61" s="19">
        <f>R60/((1+$E$5)^R9)</f>
        <v>24612527.601861674</v>
      </c>
    </row>
    <row r="62" spans="1:86" x14ac:dyDescent="0.25">
      <c r="A62" s="1"/>
      <c r="B62" s="26"/>
      <c r="C62" s="26"/>
      <c r="D62" s="26"/>
      <c r="E62" s="26"/>
      <c r="F62" s="26"/>
      <c r="G62" s="26"/>
      <c r="H62" s="26"/>
      <c r="I62" s="27"/>
      <c r="J62" s="26"/>
      <c r="K62" s="26"/>
      <c r="L62" s="26"/>
      <c r="M62" s="26"/>
      <c r="N62" s="26"/>
      <c r="O62" s="26"/>
      <c r="P62" s="26"/>
      <c r="Q62" s="26"/>
      <c r="R62" s="26"/>
    </row>
    <row r="63" spans="1:86" x14ac:dyDescent="0.25">
      <c r="A63" s="1"/>
      <c r="B63" s="1" t="s">
        <v>32</v>
      </c>
      <c r="C63" s="28">
        <f>(R60*(1+$E$6))/($E$5-$E$6)</f>
        <v>1108055625.0833325</v>
      </c>
      <c r="D63" s="1"/>
      <c r="E63" s="1" t="s">
        <v>33</v>
      </c>
      <c r="F63" s="19">
        <f>NPV($E$5,I58:CH58)</f>
        <v>1355196482.6551368</v>
      </c>
      <c r="G63" s="1"/>
      <c r="H63" s="1"/>
      <c r="I63" s="16"/>
      <c r="J63" s="1"/>
      <c r="K63" s="1"/>
      <c r="L63" s="1"/>
      <c r="M63" s="1"/>
      <c r="N63" s="1"/>
      <c r="O63" s="1"/>
      <c r="P63" s="1"/>
      <c r="Q63" s="1"/>
    </row>
    <row r="64" spans="1:86" x14ac:dyDescent="0.25">
      <c r="A64" s="1"/>
      <c r="B64" s="3" t="s">
        <v>34</v>
      </c>
      <c r="C64" s="29">
        <f>C63/((1+$E$5)^$R$9)</f>
        <v>518565407.47510147</v>
      </c>
      <c r="D64" s="17"/>
      <c r="E64" s="3"/>
      <c r="F64" s="3"/>
      <c r="G64" s="3"/>
      <c r="H64" s="17"/>
      <c r="I64" s="13"/>
      <c r="J64" s="1"/>
      <c r="L64" s="56" t="s">
        <v>57</v>
      </c>
      <c r="M64" s="57"/>
      <c r="N64" s="57"/>
      <c r="O64" s="57"/>
      <c r="P64" s="57"/>
      <c r="Q64" s="56"/>
    </row>
    <row r="65" spans="1:17" x14ac:dyDescent="0.25">
      <c r="A65" s="1"/>
      <c r="B65" s="6" t="s">
        <v>35</v>
      </c>
      <c r="C65" s="6"/>
      <c r="D65" s="1"/>
      <c r="E65" s="6"/>
      <c r="F65" s="6"/>
      <c r="G65" s="30" t="s">
        <v>36</v>
      </c>
      <c r="H65" s="30" t="s">
        <v>33</v>
      </c>
      <c r="I65" s="16"/>
      <c r="J65" s="1"/>
      <c r="K65" s="56"/>
      <c r="L65" s="58">
        <f>D71</f>
        <v>103.18165190476557</v>
      </c>
      <c r="M65" s="59">
        <v>-0.01</v>
      </c>
      <c r="N65" s="59">
        <v>0.01</v>
      </c>
      <c r="O65" s="59">
        <v>0.03</v>
      </c>
      <c r="P65" s="59">
        <v>0.04</v>
      </c>
      <c r="Q65" s="59">
        <v>0.05</v>
      </c>
    </row>
    <row r="66" spans="1:17" x14ac:dyDescent="0.25">
      <c r="A66" s="1"/>
      <c r="B66" s="31" t="s">
        <v>37</v>
      </c>
      <c r="C66" s="1"/>
      <c r="D66" s="24">
        <f>19771265+50898735</f>
        <v>70670000</v>
      </c>
      <c r="E66" s="1"/>
      <c r="F66" s="1"/>
      <c r="G66" s="28">
        <f>C64+SUM(I61:R61)</f>
        <v>734402945.7303828</v>
      </c>
      <c r="H66" s="19">
        <f>F63</f>
        <v>1355196482.6551368</v>
      </c>
      <c r="I66" s="16"/>
      <c r="J66" s="1"/>
      <c r="K66" s="56"/>
      <c r="L66" s="60">
        <f>L67-0.5%</f>
        <v>6.8886607290970764E-2</v>
      </c>
      <c r="M66" s="61">
        <f t="dataTable" ref="M66:Q70" dt2D="1" dtr="1" r1="E6" r2="E5"/>
        <v>81.842453755920815</v>
      </c>
      <c r="N66" s="61">
        <v>98.355905772631374</v>
      </c>
      <c r="O66" s="61">
        <v>128.9933677468261</v>
      </c>
      <c r="P66" s="61">
        <v>156.16504876482387</v>
      </c>
      <c r="Q66" s="61">
        <v>202.71163503447102</v>
      </c>
    </row>
    <row r="67" spans="1:17" x14ac:dyDescent="0.25">
      <c r="A67" s="1"/>
      <c r="B67" s="32" t="s">
        <v>38</v>
      </c>
      <c r="C67" s="3"/>
      <c r="D67" s="33">
        <f>111022616-55878527-15683470</f>
        <v>39460619</v>
      </c>
      <c r="E67" s="3"/>
      <c r="F67" s="3"/>
      <c r="G67" s="3"/>
      <c r="H67" s="3"/>
      <c r="I67" s="16"/>
      <c r="J67" s="1"/>
      <c r="K67" s="57"/>
      <c r="L67" s="60">
        <f>L68-0.5%</f>
        <v>7.3886607290970768E-2</v>
      </c>
      <c r="M67" s="61">
        <v>76.210073690045888</v>
      </c>
      <c r="N67" s="62">
        <v>90.075321457318196</v>
      </c>
      <c r="O67" s="62">
        <v>114.81558199337169</v>
      </c>
      <c r="P67" s="62">
        <v>135.73435300391012</v>
      </c>
      <c r="Q67" s="61">
        <v>169.00435212731935</v>
      </c>
    </row>
    <row r="68" spans="1:17" x14ac:dyDescent="0.25">
      <c r="A68" s="1"/>
      <c r="B68" s="6" t="s">
        <v>39</v>
      </c>
      <c r="C68" s="6"/>
      <c r="D68" s="6"/>
      <c r="E68" s="6"/>
      <c r="F68" s="6"/>
      <c r="G68" s="34">
        <f>(G66+D66-D67)/D72</f>
        <v>107379007.95657542</v>
      </c>
      <c r="H68" s="35">
        <f>(H66+D66-D67)/D72</f>
        <v>194446825.19707388</v>
      </c>
      <c r="I68" s="16"/>
      <c r="J68"/>
      <c r="K68" s="56" t="s">
        <v>1</v>
      </c>
      <c r="L68" s="63">
        <v>7.8886607290970773E-2</v>
      </c>
      <c r="M68" s="61">
        <v>71.226917895947878</v>
      </c>
      <c r="N68" s="62">
        <v>82.956290027136802</v>
      </c>
      <c r="O68" s="64">
        <v>103.18165190476557</v>
      </c>
      <c r="P68" s="62">
        <v>119.63862113422148</v>
      </c>
      <c r="Q68" s="61">
        <v>144.51759789164379</v>
      </c>
    </row>
    <row r="69" spans="1:17" x14ac:dyDescent="0.25">
      <c r="A69" s="1"/>
      <c r="B69" s="3" t="s">
        <v>40</v>
      </c>
      <c r="C69" s="3"/>
      <c r="D69" s="40">
        <f>5850378/4</f>
        <v>1462594.5</v>
      </c>
      <c r="E69" s="3"/>
      <c r="F69" s="3"/>
      <c r="G69" s="3"/>
      <c r="H69" s="3"/>
      <c r="I69" s="16"/>
      <c r="J69" s="1"/>
      <c r="K69" s="56"/>
      <c r="L69" s="65">
        <f>L68+1%</f>
        <v>8.8886607290970768E-2</v>
      </c>
      <c r="M69" s="61">
        <v>62.824547037642589</v>
      </c>
      <c r="N69" s="62">
        <v>71.386736178493436</v>
      </c>
      <c r="O69" s="62">
        <v>85.319821780674459</v>
      </c>
      <c r="P69" s="62">
        <v>95.997008213850478</v>
      </c>
      <c r="Q69" s="61">
        <v>111.09057118886371</v>
      </c>
    </row>
    <row r="70" spans="1:17" x14ac:dyDescent="0.25">
      <c r="A70" s="1"/>
      <c r="B70" s="18" t="s">
        <v>41</v>
      </c>
      <c r="C70" s="18"/>
      <c r="D70" s="102">
        <f>D69*$J$5</f>
        <v>116817422.715</v>
      </c>
      <c r="E70" s="18"/>
      <c r="F70" s="18"/>
      <c r="G70" s="18"/>
      <c r="H70" s="36"/>
      <c r="I70" s="1"/>
      <c r="J70" s="1"/>
      <c r="K70" s="56"/>
      <c r="L70" s="65">
        <f>L69+2%</f>
        <v>0.10888660729097077</v>
      </c>
      <c r="M70" s="61">
        <v>50.453894737072162</v>
      </c>
      <c r="N70" s="61">
        <v>55.32352056616304</v>
      </c>
      <c r="O70" s="61">
        <v>62.581975807664158</v>
      </c>
      <c r="P70" s="61">
        <v>67.694863748395534</v>
      </c>
      <c r="Q70" s="61">
        <v>74.372610846524026</v>
      </c>
    </row>
    <row r="71" spans="1:17" x14ac:dyDescent="0.25">
      <c r="A71" s="1"/>
      <c r="B71" s="6" t="s">
        <v>42</v>
      </c>
      <c r="C71" s="6" t="s">
        <v>43</v>
      </c>
      <c r="D71" s="37">
        <f>(G71+H71)/2</f>
        <v>103.18165190476557</v>
      </c>
      <c r="F71" s="6"/>
      <c r="G71" s="37">
        <f>(G68/D69)</f>
        <v>73.41680004715964</v>
      </c>
      <c r="H71" s="37">
        <f>(H68/D69)</f>
        <v>132.94650376237152</v>
      </c>
      <c r="I71" s="16"/>
      <c r="J71" s="1"/>
    </row>
    <row r="72" spans="1:17" x14ac:dyDescent="0.25">
      <c r="A72"/>
      <c r="B72" s="2" t="s">
        <v>56</v>
      </c>
      <c r="C72" s="1" t="s">
        <v>55</v>
      </c>
      <c r="D72" s="1">
        <v>7.13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04BE8-A089-4049-A68F-875029F7555A}">
  <dimension ref="A1:O42"/>
  <sheetViews>
    <sheetView workbookViewId="0">
      <selection activeCell="I14" sqref="I14"/>
    </sheetView>
  </sheetViews>
  <sheetFormatPr defaultRowHeight="15" x14ac:dyDescent="0.25"/>
  <cols>
    <col min="5" max="5" width="13" customWidth="1"/>
    <col min="6" max="6" width="12.5703125" customWidth="1"/>
    <col min="7" max="7" width="12.85546875" customWidth="1"/>
    <col min="13" max="15" width="15.140625" customWidth="1"/>
  </cols>
  <sheetData>
    <row r="1" spans="1:15" x14ac:dyDescent="0.25">
      <c r="A1" s="76" t="s">
        <v>44</v>
      </c>
      <c r="B1" t="s">
        <v>44</v>
      </c>
      <c r="C1" s="77" t="s">
        <v>44</v>
      </c>
      <c r="D1" s="77" t="s">
        <v>44</v>
      </c>
      <c r="E1" s="78" t="s">
        <v>59</v>
      </c>
      <c r="F1" s="78"/>
      <c r="G1" s="78"/>
      <c r="H1" s="78"/>
      <c r="I1" s="76" t="s">
        <v>44</v>
      </c>
      <c r="J1" s="76" t="s">
        <v>44</v>
      </c>
      <c r="K1" s="79" t="s">
        <v>144</v>
      </c>
      <c r="L1" s="79"/>
      <c r="M1" s="79">
        <v>2017</v>
      </c>
      <c r="N1" s="79">
        <v>2018</v>
      </c>
      <c r="O1" s="76" t="s">
        <v>145</v>
      </c>
    </row>
    <row r="2" spans="1:15" x14ac:dyDescent="0.25">
      <c r="A2" s="76" t="s">
        <v>44</v>
      </c>
      <c r="B2" s="76" t="s">
        <v>44</v>
      </c>
      <c r="C2" s="79" t="s">
        <v>60</v>
      </c>
      <c r="D2" s="79"/>
      <c r="E2" s="79">
        <v>2020</v>
      </c>
      <c r="F2" s="79">
        <v>2021</v>
      </c>
      <c r="G2" s="76" t="s">
        <v>61</v>
      </c>
      <c r="H2" s="76"/>
      <c r="I2" s="76" t="s">
        <v>44</v>
      </c>
      <c r="K2" s="79" t="s">
        <v>44</v>
      </c>
      <c r="L2" s="79" t="s">
        <v>44</v>
      </c>
      <c r="M2" s="79" t="s">
        <v>62</v>
      </c>
      <c r="N2" s="79" t="s">
        <v>62</v>
      </c>
      <c r="O2" s="79" t="s">
        <v>62</v>
      </c>
    </row>
    <row r="3" spans="1:15" x14ac:dyDescent="0.25">
      <c r="A3" s="76" t="s">
        <v>44</v>
      </c>
      <c r="C3" s="79" t="s">
        <v>44</v>
      </c>
      <c r="D3" s="79" t="s">
        <v>44</v>
      </c>
      <c r="E3" s="79" t="s">
        <v>62</v>
      </c>
      <c r="F3" s="79" t="s">
        <v>62</v>
      </c>
      <c r="G3" s="79" t="s">
        <v>62</v>
      </c>
      <c r="I3" s="76" t="s">
        <v>44</v>
      </c>
      <c r="J3" t="s">
        <v>44</v>
      </c>
      <c r="K3" s="79" t="s">
        <v>44</v>
      </c>
      <c r="L3" s="79" t="s">
        <v>44</v>
      </c>
      <c r="M3" s="79" t="s">
        <v>44</v>
      </c>
      <c r="N3" s="79" t="s">
        <v>44</v>
      </c>
      <c r="O3" s="79" t="s">
        <v>44</v>
      </c>
    </row>
    <row r="4" spans="1:15" x14ac:dyDescent="0.25">
      <c r="A4" s="76" t="s">
        <v>44</v>
      </c>
      <c r="B4" t="s">
        <v>44</v>
      </c>
      <c r="C4" s="79" t="s">
        <v>44</v>
      </c>
      <c r="D4" s="79" t="s">
        <v>44</v>
      </c>
      <c r="E4" s="79" t="s">
        <v>44</v>
      </c>
      <c r="F4" s="79" t="s">
        <v>44</v>
      </c>
      <c r="G4" s="79" t="s">
        <v>44</v>
      </c>
      <c r="H4" t="s">
        <v>44</v>
      </c>
      <c r="I4" s="76" t="s">
        <v>146</v>
      </c>
      <c r="K4" s="89">
        <v>16</v>
      </c>
      <c r="L4" s="77" t="s">
        <v>44</v>
      </c>
      <c r="M4" s="77" t="s">
        <v>44</v>
      </c>
      <c r="N4" s="86"/>
      <c r="O4" s="86"/>
    </row>
    <row r="5" spans="1:15" x14ac:dyDescent="0.25">
      <c r="A5" t="s">
        <v>63</v>
      </c>
      <c r="C5" s="80">
        <v>15</v>
      </c>
      <c r="D5" s="77" t="s">
        <v>44</v>
      </c>
      <c r="E5" s="81">
        <v>59491865</v>
      </c>
      <c r="F5" s="81">
        <v>93949939</v>
      </c>
      <c r="G5" s="81">
        <v>130557589</v>
      </c>
      <c r="I5" t="s">
        <v>147</v>
      </c>
      <c r="K5" s="77"/>
      <c r="L5" s="77" t="s">
        <v>44</v>
      </c>
      <c r="M5" s="81">
        <v>1740691</v>
      </c>
      <c r="N5" s="81">
        <v>13119990</v>
      </c>
      <c r="O5" s="81">
        <v>30141886</v>
      </c>
    </row>
    <row r="6" spans="1:15" x14ac:dyDescent="0.25">
      <c r="A6" t="s">
        <v>64</v>
      </c>
      <c r="C6" s="77"/>
      <c r="D6" s="77" t="s">
        <v>44</v>
      </c>
      <c r="E6" s="82">
        <v>-19278641</v>
      </c>
      <c r="F6" s="82">
        <v>-31718093</v>
      </c>
      <c r="G6" s="82">
        <v>-31462298</v>
      </c>
      <c r="I6" t="s">
        <v>148</v>
      </c>
      <c r="K6" s="77"/>
      <c r="L6" s="77" t="s">
        <v>44</v>
      </c>
      <c r="M6" s="81">
        <v>3385</v>
      </c>
      <c r="N6" s="86" t="s">
        <v>77</v>
      </c>
      <c r="O6" s="86" t="s">
        <v>77</v>
      </c>
    </row>
    <row r="7" spans="1:15" x14ac:dyDescent="0.25">
      <c r="A7" s="76" t="s">
        <v>65</v>
      </c>
      <c r="C7" s="77"/>
      <c r="D7" s="77" t="s">
        <v>44</v>
      </c>
      <c r="E7" s="83">
        <v>40213224</v>
      </c>
      <c r="F7" s="83">
        <v>62231846</v>
      </c>
      <c r="G7" s="83">
        <v>99095291</v>
      </c>
      <c r="I7" s="76" t="s">
        <v>149</v>
      </c>
      <c r="K7" s="77"/>
      <c r="L7" s="77" t="s">
        <v>44</v>
      </c>
      <c r="M7" s="83">
        <v>1744076</v>
      </c>
      <c r="N7" s="83">
        <v>13119990</v>
      </c>
      <c r="O7" s="83">
        <v>30141886</v>
      </c>
    </row>
    <row r="8" spans="1:15" x14ac:dyDescent="0.25">
      <c r="A8" s="76" t="s">
        <v>44</v>
      </c>
      <c r="B8" t="s">
        <v>44</v>
      </c>
      <c r="C8" s="77" t="s">
        <v>44</v>
      </c>
      <c r="D8" s="77" t="s">
        <v>44</v>
      </c>
      <c r="E8" s="84" t="s">
        <v>44</v>
      </c>
      <c r="F8" s="84" t="s">
        <v>44</v>
      </c>
      <c r="G8" s="84" t="s">
        <v>44</v>
      </c>
      <c r="H8" t="s">
        <v>44</v>
      </c>
      <c r="I8" s="76" t="s">
        <v>44</v>
      </c>
      <c r="J8" t="s">
        <v>44</v>
      </c>
      <c r="K8" s="77" t="s">
        <v>44</v>
      </c>
      <c r="L8" s="77" t="s">
        <v>44</v>
      </c>
      <c r="M8" s="86" t="s">
        <v>44</v>
      </c>
      <c r="N8" s="84" t="s">
        <v>44</v>
      </c>
      <c r="O8" s="84" t="s">
        <v>44</v>
      </c>
    </row>
    <row r="9" spans="1:15" x14ac:dyDescent="0.25">
      <c r="A9" t="s">
        <v>66</v>
      </c>
      <c r="C9" s="77"/>
      <c r="D9" s="77" t="s">
        <v>44</v>
      </c>
      <c r="E9" s="82">
        <v>-41194599</v>
      </c>
      <c r="F9" s="82">
        <v>-44801720</v>
      </c>
      <c r="G9" s="82">
        <v>-54343719</v>
      </c>
      <c r="I9" s="76" t="s">
        <v>150</v>
      </c>
      <c r="K9" s="77"/>
      <c r="L9" s="77" t="s">
        <v>44</v>
      </c>
      <c r="M9" s="86"/>
      <c r="N9" s="86" t="s">
        <v>44</v>
      </c>
      <c r="O9" s="86" t="s">
        <v>44</v>
      </c>
    </row>
    <row r="10" spans="1:15" x14ac:dyDescent="0.25">
      <c r="A10" t="s">
        <v>67</v>
      </c>
      <c r="C10" s="77"/>
      <c r="D10" s="77" t="s">
        <v>44</v>
      </c>
      <c r="E10" s="82">
        <v>-1507297</v>
      </c>
      <c r="F10" s="82">
        <v>-1540774</v>
      </c>
      <c r="G10" s="82">
        <v>-3964935</v>
      </c>
      <c r="I10" t="s">
        <v>151</v>
      </c>
      <c r="K10" s="77"/>
      <c r="L10" s="77" t="s">
        <v>44</v>
      </c>
      <c r="M10" s="82">
        <v>-719778</v>
      </c>
      <c r="N10" s="82">
        <v>-2905249</v>
      </c>
      <c r="O10" s="82">
        <v>-6338778</v>
      </c>
    </row>
    <row r="11" spans="1:15" x14ac:dyDescent="0.25">
      <c r="A11" t="s">
        <v>68</v>
      </c>
      <c r="C11" s="77"/>
      <c r="D11" s="77" t="s">
        <v>44</v>
      </c>
      <c r="E11" s="82">
        <v>-6891653</v>
      </c>
      <c r="F11" s="82">
        <v>-8992590</v>
      </c>
      <c r="G11" s="82">
        <v>-10384716</v>
      </c>
      <c r="I11" t="s">
        <v>152</v>
      </c>
      <c r="K11" s="77"/>
      <c r="L11" s="77" t="s">
        <v>44</v>
      </c>
      <c r="M11" s="82">
        <v>-3052</v>
      </c>
      <c r="N11" s="86" t="s">
        <v>77</v>
      </c>
      <c r="O11" s="86" t="s">
        <v>77</v>
      </c>
    </row>
    <row r="12" spans="1:15" x14ac:dyDescent="0.25">
      <c r="A12" s="76" t="s">
        <v>69</v>
      </c>
      <c r="C12" s="77"/>
      <c r="D12" s="77" t="s">
        <v>44</v>
      </c>
      <c r="E12" s="85">
        <v>-49593549</v>
      </c>
      <c r="F12" s="85">
        <v>-55335084</v>
      </c>
      <c r="G12" s="85">
        <v>-68693370</v>
      </c>
      <c r="H12" s="76"/>
      <c r="I12" s="76" t="s">
        <v>153</v>
      </c>
      <c r="K12" s="77"/>
      <c r="L12" s="77" t="s">
        <v>44</v>
      </c>
      <c r="M12" s="85">
        <v>-722830</v>
      </c>
      <c r="N12" s="85">
        <v>-2905249</v>
      </c>
      <c r="O12" s="85">
        <v>-6338778</v>
      </c>
    </row>
    <row r="13" spans="1:15" x14ac:dyDescent="0.25">
      <c r="A13" s="76" t="s">
        <v>44</v>
      </c>
      <c r="B13" t="s">
        <v>44</v>
      </c>
      <c r="C13" s="77" t="s">
        <v>44</v>
      </c>
      <c r="D13" s="77" t="s">
        <v>44</v>
      </c>
      <c r="E13" t="s">
        <v>44</v>
      </c>
      <c r="F13" t="s">
        <v>44</v>
      </c>
      <c r="G13" t="s">
        <v>44</v>
      </c>
      <c r="H13" s="76" t="s">
        <v>44</v>
      </c>
      <c r="I13" s="76" t="s">
        <v>44</v>
      </c>
      <c r="J13" t="s">
        <v>44</v>
      </c>
      <c r="K13" s="77" t="s">
        <v>44</v>
      </c>
      <c r="L13" s="77" t="s">
        <v>44</v>
      </c>
      <c r="M13" s="84" t="s">
        <v>44</v>
      </c>
      <c r="N13" s="84" t="s">
        <v>44</v>
      </c>
      <c r="O13" s="84" t="s">
        <v>44</v>
      </c>
    </row>
    <row r="14" spans="1:15" x14ac:dyDescent="0.25">
      <c r="A14" s="76" t="s">
        <v>70</v>
      </c>
      <c r="C14" s="77"/>
      <c r="D14" s="77" t="s">
        <v>44</v>
      </c>
      <c r="E14" s="85">
        <v>-9380325</v>
      </c>
      <c r="F14" s="83">
        <v>6896762</v>
      </c>
      <c r="G14" s="83">
        <v>30401921</v>
      </c>
      <c r="H14" s="76"/>
      <c r="I14" s="76" t="s">
        <v>65</v>
      </c>
      <c r="K14" s="77"/>
      <c r="L14" s="77" t="s">
        <v>44</v>
      </c>
      <c r="M14" s="83">
        <v>1021246</v>
      </c>
      <c r="N14" s="83">
        <v>10214741</v>
      </c>
      <c r="O14" s="83">
        <v>23803108</v>
      </c>
    </row>
    <row r="15" spans="1:15" x14ac:dyDescent="0.25">
      <c r="A15" s="76" t="s">
        <v>44</v>
      </c>
      <c r="B15" t="s">
        <v>44</v>
      </c>
      <c r="C15" s="77" t="s">
        <v>44</v>
      </c>
      <c r="D15" s="77" t="s">
        <v>44</v>
      </c>
      <c r="E15" s="84" t="s">
        <v>44</v>
      </c>
      <c r="F15" s="84" t="s">
        <v>44</v>
      </c>
      <c r="G15" s="84" t="s">
        <v>44</v>
      </c>
      <c r="H15" s="76" t="s">
        <v>44</v>
      </c>
      <c r="I15" t="s">
        <v>154</v>
      </c>
      <c r="K15" s="77"/>
      <c r="L15" s="77" t="s">
        <v>44</v>
      </c>
      <c r="M15" s="82">
        <v>-1344582</v>
      </c>
      <c r="N15" s="82">
        <v>-13441813</v>
      </c>
      <c r="O15" s="82">
        <v>-27174249</v>
      </c>
    </row>
    <row r="16" spans="1:15" x14ac:dyDescent="0.25">
      <c r="A16" t="s">
        <v>71</v>
      </c>
      <c r="C16" s="77"/>
      <c r="D16" s="77" t="s">
        <v>44</v>
      </c>
      <c r="E16" s="81">
        <v>2455366</v>
      </c>
      <c r="F16" s="81">
        <v>3061662</v>
      </c>
      <c r="G16" s="81">
        <v>3997100</v>
      </c>
      <c r="I16" t="s">
        <v>67</v>
      </c>
      <c r="K16" s="77"/>
      <c r="L16" s="77" t="s">
        <v>44</v>
      </c>
      <c r="M16" s="82">
        <v>-133207</v>
      </c>
      <c r="N16" s="82">
        <v>-6456612</v>
      </c>
      <c r="O16" s="82">
        <v>-1296712</v>
      </c>
    </row>
    <row r="17" spans="1:15" x14ac:dyDescent="0.25">
      <c r="A17" t="s">
        <v>72</v>
      </c>
      <c r="B17" t="s">
        <v>44</v>
      </c>
      <c r="C17" s="77" t="s">
        <v>44</v>
      </c>
      <c r="D17" s="77" t="s">
        <v>44</v>
      </c>
      <c r="E17" s="82">
        <v>-757336</v>
      </c>
      <c r="F17" s="82">
        <v>-1231002</v>
      </c>
      <c r="G17" s="82">
        <v>-51655</v>
      </c>
      <c r="H17" t="s">
        <v>44</v>
      </c>
      <c r="I17" t="s">
        <v>155</v>
      </c>
      <c r="K17" s="77"/>
      <c r="L17" s="77" t="s">
        <v>44</v>
      </c>
      <c r="M17" s="82">
        <v>-129181</v>
      </c>
      <c r="N17" s="82">
        <v>-1116057</v>
      </c>
      <c r="O17" s="82">
        <v>-3870358</v>
      </c>
    </row>
    <row r="18" spans="1:15" x14ac:dyDescent="0.25">
      <c r="A18" t="s">
        <v>73</v>
      </c>
      <c r="C18" s="77"/>
      <c r="D18" s="77" t="s">
        <v>44</v>
      </c>
      <c r="E18" s="81">
        <v>225197</v>
      </c>
      <c r="F18" s="81">
        <v>71750</v>
      </c>
      <c r="G18" s="82">
        <v>-149710</v>
      </c>
      <c r="I18" t="s">
        <v>156</v>
      </c>
      <c r="K18" s="77"/>
      <c r="L18" s="77" t="s">
        <v>44</v>
      </c>
      <c r="M18" s="82">
        <v>-10000</v>
      </c>
      <c r="N18" s="86" t="s">
        <v>77</v>
      </c>
      <c r="O18" s="86" t="s">
        <v>77</v>
      </c>
    </row>
    <row r="19" spans="1:15" x14ac:dyDescent="0.25">
      <c r="A19" t="s">
        <v>74</v>
      </c>
      <c r="C19" s="77"/>
      <c r="D19" s="77" t="s">
        <v>44</v>
      </c>
      <c r="E19" s="81">
        <v>193702</v>
      </c>
      <c r="F19" s="81">
        <v>656255</v>
      </c>
      <c r="G19" s="81">
        <v>2221358</v>
      </c>
      <c r="I19" s="76" t="s">
        <v>69</v>
      </c>
      <c r="K19" s="77"/>
      <c r="L19" s="77" t="s">
        <v>44</v>
      </c>
      <c r="M19" s="85">
        <v>-1616970</v>
      </c>
      <c r="N19" s="85">
        <v>-21014482</v>
      </c>
      <c r="O19" s="85">
        <v>-32341319</v>
      </c>
    </row>
    <row r="20" spans="1:15" x14ac:dyDescent="0.25">
      <c r="A20" t="s">
        <v>44</v>
      </c>
      <c r="B20" t="s">
        <v>44</v>
      </c>
      <c r="C20" s="77" t="s">
        <v>44</v>
      </c>
      <c r="D20" s="77" t="s">
        <v>44</v>
      </c>
      <c r="E20" s="86" t="s">
        <v>44</v>
      </c>
      <c r="F20" s="86" t="s">
        <v>44</v>
      </c>
      <c r="G20" s="86" t="s">
        <v>44</v>
      </c>
      <c r="H20" t="s">
        <v>44</v>
      </c>
      <c r="I20" s="76" t="s">
        <v>44</v>
      </c>
      <c r="J20" t="s">
        <v>44</v>
      </c>
      <c r="K20" s="77" t="s">
        <v>44</v>
      </c>
      <c r="L20" s="77" t="s">
        <v>44</v>
      </c>
      <c r="M20" s="84" t="s">
        <v>44</v>
      </c>
      <c r="N20" t="s">
        <v>44</v>
      </c>
      <c r="O20" t="s">
        <v>44</v>
      </c>
    </row>
    <row r="21" spans="1:15" x14ac:dyDescent="0.25">
      <c r="A21" s="76" t="s">
        <v>75</v>
      </c>
      <c r="C21" s="77"/>
      <c r="D21" s="77" t="s">
        <v>44</v>
      </c>
      <c r="E21" s="85">
        <v>-7263396</v>
      </c>
      <c r="F21" s="83">
        <v>9455427</v>
      </c>
      <c r="G21" s="83">
        <v>36419014</v>
      </c>
      <c r="H21" s="76"/>
      <c r="I21" s="76" t="s">
        <v>157</v>
      </c>
      <c r="K21" s="77"/>
      <c r="L21" s="77" t="s">
        <v>44</v>
      </c>
      <c r="M21" s="85">
        <v>-595724</v>
      </c>
      <c r="N21" s="85">
        <v>-10799741</v>
      </c>
      <c r="O21" s="85">
        <v>-8538211</v>
      </c>
    </row>
    <row r="22" spans="1:15" x14ac:dyDescent="0.25">
      <c r="A22" t="s">
        <v>76</v>
      </c>
      <c r="B22" t="s">
        <v>44</v>
      </c>
      <c r="C22" s="80">
        <v>17</v>
      </c>
      <c r="D22" s="77" t="s">
        <v>44</v>
      </c>
      <c r="E22" s="84" t="s">
        <v>77</v>
      </c>
      <c r="F22" s="82">
        <v>-1933585</v>
      </c>
      <c r="G22" s="82">
        <v>-4725667</v>
      </c>
      <c r="H22" t="s">
        <v>44</v>
      </c>
      <c r="I22" t="s">
        <v>92</v>
      </c>
      <c r="K22" s="77"/>
      <c r="L22" s="77" t="s">
        <v>44</v>
      </c>
      <c r="M22" s="81">
        <v>80783</v>
      </c>
      <c r="N22" s="81">
        <v>584940</v>
      </c>
      <c r="O22" s="81">
        <v>1541825</v>
      </c>
    </row>
    <row r="23" spans="1:15" x14ac:dyDescent="0.25">
      <c r="A23" t="s">
        <v>78</v>
      </c>
      <c r="C23" s="80">
        <v>9</v>
      </c>
      <c r="D23" s="77" t="s">
        <v>44</v>
      </c>
      <c r="E23" s="81">
        <v>83654</v>
      </c>
      <c r="F23" s="81">
        <v>246828</v>
      </c>
      <c r="G23" s="82">
        <v>-155285</v>
      </c>
      <c r="I23" t="s">
        <v>87</v>
      </c>
      <c r="J23" t="s">
        <v>44</v>
      </c>
      <c r="K23" s="77" t="s">
        <v>44</v>
      </c>
      <c r="L23" s="77" t="s">
        <v>44</v>
      </c>
      <c r="M23" s="86" t="s">
        <v>77</v>
      </c>
      <c r="N23" s="86" t="s">
        <v>77</v>
      </c>
      <c r="O23" s="82">
        <v>-145858</v>
      </c>
    </row>
    <row r="24" spans="1:15" x14ac:dyDescent="0.25">
      <c r="A24" s="76" t="s">
        <v>79</v>
      </c>
      <c r="C24" s="77"/>
      <c r="D24" s="77" t="s">
        <v>44</v>
      </c>
      <c r="E24" s="85">
        <v>-7179742</v>
      </c>
      <c r="F24" s="83">
        <v>7768670</v>
      </c>
      <c r="G24" s="83">
        <v>31538062</v>
      </c>
      <c r="H24" s="76"/>
      <c r="I24" t="s">
        <v>158</v>
      </c>
      <c r="K24" s="77"/>
      <c r="L24" s="77" t="s">
        <v>44</v>
      </c>
      <c r="M24" s="82">
        <v>-11547</v>
      </c>
      <c r="N24" s="81">
        <v>10037</v>
      </c>
      <c r="O24" s="81">
        <v>63179</v>
      </c>
    </row>
    <row r="25" spans="1:15" x14ac:dyDescent="0.25">
      <c r="A25" s="76" t="s">
        <v>44</v>
      </c>
      <c r="B25" t="s">
        <v>44</v>
      </c>
      <c r="C25" s="77" t="s">
        <v>44</v>
      </c>
      <c r="D25" s="77" t="s">
        <v>44</v>
      </c>
      <c r="E25" s="84" t="s">
        <v>44</v>
      </c>
      <c r="F25" s="84" t="s">
        <v>44</v>
      </c>
      <c r="G25" s="84" t="s">
        <v>44</v>
      </c>
      <c r="H25" s="76" t="s">
        <v>44</v>
      </c>
      <c r="I25" t="s">
        <v>159</v>
      </c>
      <c r="K25" s="77"/>
      <c r="L25" s="77" t="s">
        <v>44</v>
      </c>
      <c r="M25" s="81">
        <v>1373</v>
      </c>
      <c r="N25" s="82">
        <v>-12361</v>
      </c>
      <c r="O25" s="81">
        <v>82786</v>
      </c>
    </row>
    <row r="26" spans="1:15" x14ac:dyDescent="0.25">
      <c r="A26" s="76" t="s">
        <v>80</v>
      </c>
      <c r="C26" s="77"/>
      <c r="D26" s="77" t="s">
        <v>44</v>
      </c>
      <c r="E26" s="85">
        <v>-7179742</v>
      </c>
      <c r="F26" s="83">
        <v>7768670</v>
      </c>
      <c r="G26" s="83">
        <v>31538062</v>
      </c>
      <c r="H26" s="76"/>
      <c r="I26" s="76" t="s">
        <v>160</v>
      </c>
      <c r="K26" s="77"/>
      <c r="L26" s="77" t="s">
        <v>44</v>
      </c>
      <c r="M26" s="85">
        <v>-525115</v>
      </c>
      <c r="N26" s="85">
        <v>-10217125</v>
      </c>
      <c r="O26" s="85">
        <v>-6996279</v>
      </c>
    </row>
    <row r="27" spans="1:15" x14ac:dyDescent="0.25">
      <c r="A27" s="76" t="s">
        <v>44</v>
      </c>
      <c r="B27" t="s">
        <v>44</v>
      </c>
      <c r="C27" s="77" t="s">
        <v>44</v>
      </c>
      <c r="D27" s="77" t="s">
        <v>44</v>
      </c>
      <c r="E27" s="84" t="s">
        <v>44</v>
      </c>
      <c r="F27" s="84" t="s">
        <v>44</v>
      </c>
      <c r="G27" s="84" t="s">
        <v>44</v>
      </c>
      <c r="H27" s="76" t="s">
        <v>44</v>
      </c>
      <c r="I27" t="s">
        <v>76</v>
      </c>
      <c r="J27" t="s">
        <v>44</v>
      </c>
      <c r="K27" s="80">
        <v>18</v>
      </c>
      <c r="L27" s="77" t="s">
        <v>44</v>
      </c>
      <c r="M27" s="84" t="s">
        <v>77</v>
      </c>
      <c r="N27" s="84" t="s">
        <v>77</v>
      </c>
      <c r="O27" s="86" t="s">
        <v>77</v>
      </c>
    </row>
    <row r="28" spans="1:15" x14ac:dyDescent="0.25">
      <c r="A28" s="76" t="s">
        <v>81</v>
      </c>
      <c r="C28" s="80">
        <v>19</v>
      </c>
      <c r="D28" s="77" t="s">
        <v>44</v>
      </c>
      <c r="E28" s="86"/>
      <c r="F28" s="86"/>
      <c r="G28" s="86"/>
      <c r="I28" t="s">
        <v>78</v>
      </c>
      <c r="K28" s="80">
        <v>9</v>
      </c>
      <c r="L28" s="77" t="s">
        <v>44</v>
      </c>
      <c r="M28" s="86" t="s">
        <v>77</v>
      </c>
      <c r="N28" s="86" t="s">
        <v>77</v>
      </c>
      <c r="O28" s="81">
        <v>28676</v>
      </c>
    </row>
    <row r="29" spans="1:15" x14ac:dyDescent="0.25">
      <c r="A29" t="s">
        <v>82</v>
      </c>
      <c r="C29" s="77"/>
      <c r="D29" s="77" t="s">
        <v>44</v>
      </c>
      <c r="E29" s="87">
        <v>-1.51</v>
      </c>
      <c r="F29" s="88">
        <v>1.55</v>
      </c>
      <c r="G29" s="88">
        <v>6.24</v>
      </c>
      <c r="I29" s="76" t="s">
        <v>161</v>
      </c>
      <c r="K29" s="77"/>
      <c r="L29" s="77" t="s">
        <v>44</v>
      </c>
      <c r="M29" s="85">
        <v>-525115</v>
      </c>
      <c r="N29" s="85">
        <v>-10217125</v>
      </c>
      <c r="O29" s="85">
        <v>-6967603</v>
      </c>
    </row>
    <row r="30" spans="1:15" x14ac:dyDescent="0.25">
      <c r="A30" t="s">
        <v>83</v>
      </c>
      <c r="C30" s="77"/>
      <c r="D30" s="77" t="s">
        <v>44</v>
      </c>
      <c r="E30" s="87">
        <v>-1.51</v>
      </c>
      <c r="F30" s="88">
        <v>1.36</v>
      </c>
      <c r="G30" s="88">
        <v>5.48</v>
      </c>
      <c r="I30" t="s">
        <v>162</v>
      </c>
      <c r="K30" s="77" t="s">
        <v>44</v>
      </c>
      <c r="L30" s="77" t="s">
        <v>44</v>
      </c>
      <c r="M30" s="86" t="s">
        <v>77</v>
      </c>
      <c r="N30" s="82">
        <v>-80496</v>
      </c>
      <c r="O30" s="86" t="s">
        <v>77</v>
      </c>
    </row>
    <row r="31" spans="1:15" x14ac:dyDescent="0.25">
      <c r="A31" s="76" t="s">
        <v>84</v>
      </c>
      <c r="C31" s="77"/>
      <c r="D31" s="77" t="s">
        <v>44</v>
      </c>
      <c r="E31" s="86"/>
      <c r="F31" s="86"/>
      <c r="G31" s="86"/>
      <c r="I31" t="s">
        <v>163</v>
      </c>
      <c r="K31" s="77" t="s">
        <v>44</v>
      </c>
      <c r="L31" s="77" t="s">
        <v>44</v>
      </c>
      <c r="M31" s="81">
        <v>26413</v>
      </c>
      <c r="N31" s="86" t="s">
        <v>77</v>
      </c>
      <c r="O31" s="86" t="s">
        <v>77</v>
      </c>
    </row>
    <row r="32" spans="1:15" x14ac:dyDescent="0.25">
      <c r="A32" t="s">
        <v>82</v>
      </c>
      <c r="C32" s="77"/>
      <c r="D32" s="77" t="s">
        <v>44</v>
      </c>
      <c r="E32" s="81">
        <v>4768343300</v>
      </c>
      <c r="F32" s="81">
        <v>5012651334</v>
      </c>
      <c r="G32" s="81">
        <v>5057540124</v>
      </c>
      <c r="I32" s="76" t="s">
        <v>164</v>
      </c>
      <c r="K32" s="77"/>
      <c r="L32" s="77" t="s">
        <v>44</v>
      </c>
      <c r="M32" s="85">
        <v>-498702</v>
      </c>
      <c r="N32" s="85">
        <v>-10297621</v>
      </c>
      <c r="O32" s="85">
        <v>-6967603</v>
      </c>
    </row>
    <row r="33" spans="1:15" x14ac:dyDescent="0.25">
      <c r="A33" t="s">
        <v>83</v>
      </c>
      <c r="C33" s="77"/>
      <c r="D33" s="77" t="s">
        <v>44</v>
      </c>
      <c r="E33" s="81">
        <v>4768343300</v>
      </c>
      <c r="F33" s="81">
        <v>5713764297</v>
      </c>
      <c r="G33" s="81">
        <v>5761291439</v>
      </c>
      <c r="I33" s="76" t="s">
        <v>165</v>
      </c>
      <c r="K33" s="80">
        <v>20</v>
      </c>
      <c r="L33" s="77" t="s">
        <v>44</v>
      </c>
      <c r="M33" s="86"/>
      <c r="N33" s="86"/>
      <c r="O33" s="86"/>
    </row>
    <row r="34" spans="1:15" x14ac:dyDescent="0.25">
      <c r="I34" t="s">
        <v>82</v>
      </c>
      <c r="K34" s="77"/>
      <c r="L34" s="77" t="s">
        <v>44</v>
      </c>
      <c r="M34" s="87">
        <v>-0.28000000000000003</v>
      </c>
      <c r="N34" s="87">
        <v>-3.47</v>
      </c>
      <c r="O34" s="87">
        <v>-1.51</v>
      </c>
    </row>
    <row r="35" spans="1:15" x14ac:dyDescent="0.25">
      <c r="I35" t="s">
        <v>83</v>
      </c>
      <c r="K35" s="77"/>
      <c r="L35" s="77" t="s">
        <v>44</v>
      </c>
      <c r="M35" s="87">
        <v>-0.28000000000000003</v>
      </c>
      <c r="N35" s="87">
        <v>-3.47</v>
      </c>
      <c r="O35" s="87">
        <v>-1.51</v>
      </c>
    </row>
    <row r="36" spans="1:15" x14ac:dyDescent="0.25">
      <c r="I36" t="s">
        <v>44</v>
      </c>
      <c r="J36" t="s">
        <v>44</v>
      </c>
      <c r="K36" s="77" t="s">
        <v>44</v>
      </c>
      <c r="L36" s="77" t="s">
        <v>44</v>
      </c>
      <c r="M36" s="86" t="s">
        <v>44</v>
      </c>
      <c r="N36" s="86" t="s">
        <v>44</v>
      </c>
      <c r="O36" s="86" t="s">
        <v>44</v>
      </c>
    </row>
    <row r="37" spans="1:15" x14ac:dyDescent="0.25">
      <c r="I37" s="76" t="s">
        <v>166</v>
      </c>
      <c r="K37" s="77"/>
      <c r="L37" s="77" t="s">
        <v>44</v>
      </c>
      <c r="M37" s="86"/>
      <c r="N37" s="86"/>
      <c r="O37" s="86"/>
    </row>
    <row r="38" spans="1:15" x14ac:dyDescent="0.25">
      <c r="I38" t="s">
        <v>82</v>
      </c>
      <c r="K38" s="77"/>
      <c r="L38" s="77" t="s">
        <v>44</v>
      </c>
      <c r="M38" s="81">
        <v>1764799346</v>
      </c>
      <c r="N38" s="81">
        <v>2968319549</v>
      </c>
      <c r="O38" s="81">
        <v>4627278394</v>
      </c>
    </row>
    <row r="39" spans="1:15" x14ac:dyDescent="0.25">
      <c r="I39" t="s">
        <v>83</v>
      </c>
      <c r="K39" s="77"/>
      <c r="L39" s="77" t="s">
        <v>44</v>
      </c>
      <c r="M39" s="81">
        <v>1764799346</v>
      </c>
      <c r="N39" s="81">
        <v>2968319549</v>
      </c>
      <c r="O39" s="81">
        <v>4627278394</v>
      </c>
    </row>
    <row r="40" spans="1:15" x14ac:dyDescent="0.25">
      <c r="I40" s="76" t="s">
        <v>167</v>
      </c>
      <c r="K40" s="77"/>
      <c r="L40" s="77" t="s">
        <v>44</v>
      </c>
      <c r="M40" s="86"/>
      <c r="N40" s="86"/>
      <c r="O40" s="86"/>
    </row>
    <row r="41" spans="1:15" x14ac:dyDescent="0.25">
      <c r="I41" t="s">
        <v>168</v>
      </c>
      <c r="K41" s="77"/>
      <c r="L41" s="77" t="s">
        <v>44</v>
      </c>
      <c r="M41" s="82">
        <v>-47681</v>
      </c>
      <c r="N41" s="81">
        <v>1058884</v>
      </c>
      <c r="O41" s="81">
        <v>412447</v>
      </c>
    </row>
    <row r="42" spans="1:15" x14ac:dyDescent="0.25">
      <c r="I42" s="76" t="s">
        <v>169</v>
      </c>
      <c r="K42" s="77"/>
      <c r="L42" s="77" t="s">
        <v>44</v>
      </c>
      <c r="M42" s="85">
        <v>-572796</v>
      </c>
      <c r="N42" s="85">
        <v>-9158241</v>
      </c>
      <c r="O42" s="85">
        <v>-6555156</v>
      </c>
    </row>
  </sheetData>
  <mergeCells count="1">
    <mergeCell ref="E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F9ED6-29D7-48E1-9C3F-C6312A87AF81}">
  <dimension ref="A1:K69"/>
  <sheetViews>
    <sheetView topLeftCell="A14" workbookViewId="0">
      <selection activeCell="I35" sqref="I35"/>
    </sheetView>
  </sheetViews>
  <sheetFormatPr defaultRowHeight="15" x14ac:dyDescent="0.25"/>
  <cols>
    <col min="1" max="1" width="69" customWidth="1"/>
    <col min="3" max="3" width="12.7109375" customWidth="1"/>
    <col min="5" max="5" width="15" customWidth="1"/>
    <col min="7" max="7" width="60.140625" customWidth="1"/>
  </cols>
  <sheetData>
    <row r="1" spans="1:11" x14ac:dyDescent="0.25">
      <c r="A1" s="76" t="s">
        <v>44</v>
      </c>
      <c r="B1" s="76" t="s">
        <v>44</v>
      </c>
      <c r="C1" s="79">
        <v>2020</v>
      </c>
      <c r="D1" s="79">
        <v>2021</v>
      </c>
      <c r="E1" s="76" t="s">
        <v>61</v>
      </c>
      <c r="G1" s="76" t="s">
        <v>44</v>
      </c>
      <c r="H1" s="76" t="s">
        <v>44</v>
      </c>
      <c r="I1" s="79">
        <v>2017</v>
      </c>
      <c r="J1" s="79">
        <v>2018</v>
      </c>
      <c r="K1" s="76" t="s">
        <v>145</v>
      </c>
    </row>
    <row r="2" spans="1:11" x14ac:dyDescent="0.25">
      <c r="A2" s="76" t="s">
        <v>44</v>
      </c>
      <c r="C2" s="79" t="s">
        <v>62</v>
      </c>
      <c r="D2" s="79" t="s">
        <v>62</v>
      </c>
      <c r="E2" s="79" t="s">
        <v>62</v>
      </c>
      <c r="G2" s="76" t="s">
        <v>44</v>
      </c>
      <c r="I2" s="79" t="s">
        <v>62</v>
      </c>
      <c r="J2" s="79" t="s">
        <v>62</v>
      </c>
      <c r="K2" s="79" t="s">
        <v>62</v>
      </c>
    </row>
    <row r="3" spans="1:11" x14ac:dyDescent="0.25">
      <c r="A3" s="76" t="s">
        <v>85</v>
      </c>
      <c r="C3" t="s">
        <v>44</v>
      </c>
      <c r="D3" s="86"/>
      <c r="E3" s="86"/>
      <c r="G3" s="76" t="s">
        <v>85</v>
      </c>
      <c r="I3" t="s">
        <v>44</v>
      </c>
      <c r="J3" s="86"/>
      <c r="K3" s="86"/>
    </row>
    <row r="4" spans="1:11" x14ac:dyDescent="0.25">
      <c r="A4" t="s">
        <v>79</v>
      </c>
      <c r="C4" s="82">
        <v>-7179742</v>
      </c>
      <c r="D4" s="81">
        <v>7768670</v>
      </c>
      <c r="E4" s="81">
        <v>31538062</v>
      </c>
      <c r="G4" t="s">
        <v>161</v>
      </c>
      <c r="I4" s="82">
        <v>-525115</v>
      </c>
      <c r="J4" s="82">
        <v>-10217125</v>
      </c>
      <c r="K4" s="82">
        <v>-6967603</v>
      </c>
    </row>
    <row r="5" spans="1:11" x14ac:dyDescent="0.25">
      <c r="A5" t="s">
        <v>86</v>
      </c>
      <c r="B5" t="s">
        <v>44</v>
      </c>
      <c r="C5" s="86" t="s">
        <v>44</v>
      </c>
      <c r="D5" t="s">
        <v>44</v>
      </c>
      <c r="E5" t="s">
        <v>44</v>
      </c>
      <c r="G5" t="s">
        <v>87</v>
      </c>
      <c r="H5" t="s">
        <v>44</v>
      </c>
      <c r="I5" s="86" t="s">
        <v>77</v>
      </c>
      <c r="J5" s="86" t="s">
        <v>77</v>
      </c>
      <c r="K5" s="81">
        <v>145858</v>
      </c>
    </row>
    <row r="6" spans="1:11" x14ac:dyDescent="0.25">
      <c r="A6" t="s">
        <v>87</v>
      </c>
      <c r="B6" t="s">
        <v>44</v>
      </c>
      <c r="C6" s="81">
        <v>757336</v>
      </c>
      <c r="D6" s="81">
        <v>1231002</v>
      </c>
      <c r="E6" s="81">
        <v>51655</v>
      </c>
      <c r="G6" t="s">
        <v>170</v>
      </c>
      <c r="H6" t="s">
        <v>44</v>
      </c>
      <c r="I6" s="86" t="s">
        <v>77</v>
      </c>
      <c r="J6" s="81">
        <v>2155</v>
      </c>
      <c r="K6" s="81">
        <v>11782</v>
      </c>
    </row>
    <row r="7" spans="1:11" x14ac:dyDescent="0.25">
      <c r="A7" t="s">
        <v>88</v>
      </c>
      <c r="B7" t="s">
        <v>44</v>
      </c>
      <c r="C7" s="81">
        <v>43434</v>
      </c>
      <c r="D7" s="81">
        <v>49300</v>
      </c>
      <c r="E7" s="81">
        <v>118384</v>
      </c>
      <c r="G7" t="s">
        <v>89</v>
      </c>
      <c r="I7" s="81">
        <v>2265</v>
      </c>
      <c r="J7" s="81">
        <v>497003</v>
      </c>
      <c r="K7" s="81">
        <v>637831</v>
      </c>
    </row>
    <row r="8" spans="1:11" x14ac:dyDescent="0.25">
      <c r="A8" t="s">
        <v>89</v>
      </c>
      <c r="C8" s="81">
        <v>651523</v>
      </c>
      <c r="D8" s="81">
        <v>1495380</v>
      </c>
      <c r="E8" s="81">
        <v>2224169</v>
      </c>
      <c r="G8" t="s">
        <v>171</v>
      </c>
      <c r="H8" t="s">
        <v>44</v>
      </c>
      <c r="I8" s="86" t="s">
        <v>77</v>
      </c>
      <c r="J8" s="86" t="s">
        <v>77</v>
      </c>
      <c r="K8" s="81">
        <v>73206</v>
      </c>
    </row>
    <row r="9" spans="1:11" x14ac:dyDescent="0.25">
      <c r="A9" t="s">
        <v>90</v>
      </c>
      <c r="B9" t="s">
        <v>44</v>
      </c>
      <c r="C9" s="86" t="s">
        <v>77</v>
      </c>
      <c r="D9" s="82">
        <v>-213</v>
      </c>
      <c r="E9" s="82">
        <v>-1028586</v>
      </c>
      <c r="G9" t="s">
        <v>156</v>
      </c>
      <c r="I9" s="81">
        <v>10000</v>
      </c>
      <c r="J9" s="86" t="s">
        <v>77</v>
      </c>
      <c r="K9" s="86" t="s">
        <v>77</v>
      </c>
    </row>
    <row r="10" spans="1:11" x14ac:dyDescent="0.25">
      <c r="A10" t="s">
        <v>91</v>
      </c>
      <c r="B10" t="s">
        <v>44</v>
      </c>
      <c r="C10" s="81">
        <v>148945</v>
      </c>
      <c r="D10" s="81">
        <v>348863</v>
      </c>
      <c r="E10" s="81">
        <v>510915</v>
      </c>
      <c r="G10" t="s">
        <v>92</v>
      </c>
      <c r="I10" s="82">
        <v>-2573</v>
      </c>
      <c r="J10" s="82">
        <v>-78267</v>
      </c>
      <c r="K10" s="82">
        <v>-209580</v>
      </c>
    </row>
    <row r="11" spans="1:11" x14ac:dyDescent="0.25">
      <c r="A11" t="s">
        <v>92</v>
      </c>
      <c r="C11" s="82">
        <v>-469486</v>
      </c>
      <c r="D11" s="82">
        <v>-146972</v>
      </c>
      <c r="E11" s="82">
        <v>-606447</v>
      </c>
      <c r="G11" t="s">
        <v>172</v>
      </c>
      <c r="I11" s="81">
        <v>64</v>
      </c>
      <c r="J11" s="81">
        <v>13</v>
      </c>
      <c r="K11" s="81">
        <v>175</v>
      </c>
    </row>
    <row r="12" spans="1:11" x14ac:dyDescent="0.25">
      <c r="A12" t="s">
        <v>93</v>
      </c>
      <c r="C12" s="81">
        <v>24</v>
      </c>
      <c r="D12" s="82">
        <v>-258</v>
      </c>
      <c r="E12" s="81">
        <v>10697</v>
      </c>
      <c r="G12" t="s">
        <v>94</v>
      </c>
      <c r="I12" s="81">
        <v>13380</v>
      </c>
      <c r="J12" s="81">
        <v>6841573</v>
      </c>
      <c r="K12" s="81">
        <v>2557706</v>
      </c>
    </row>
    <row r="13" spans="1:11" x14ac:dyDescent="0.25">
      <c r="A13" t="s">
        <v>94</v>
      </c>
      <c r="C13" s="81">
        <v>3613043</v>
      </c>
      <c r="D13" s="81">
        <v>4774730</v>
      </c>
      <c r="E13" s="81">
        <v>7718365</v>
      </c>
      <c r="G13" t="s">
        <v>173</v>
      </c>
      <c r="H13" t="s">
        <v>44</v>
      </c>
      <c r="I13" s="86" t="s">
        <v>77</v>
      </c>
      <c r="J13" s="86" t="s">
        <v>77</v>
      </c>
      <c r="K13" s="82">
        <v>-5380</v>
      </c>
    </row>
    <row r="14" spans="1:11" x14ac:dyDescent="0.25">
      <c r="A14" t="s">
        <v>95</v>
      </c>
      <c r="B14" t="s">
        <v>44</v>
      </c>
      <c r="C14" s="82">
        <v>-225197</v>
      </c>
      <c r="D14" s="82">
        <v>-71750</v>
      </c>
      <c r="E14" s="81">
        <v>149710</v>
      </c>
      <c r="G14" t="s">
        <v>78</v>
      </c>
      <c r="H14" t="s">
        <v>44</v>
      </c>
      <c r="I14" s="86" t="s">
        <v>77</v>
      </c>
      <c r="J14" s="86" t="s">
        <v>77</v>
      </c>
      <c r="K14" s="82">
        <v>-28676</v>
      </c>
    </row>
    <row r="15" spans="1:11" x14ac:dyDescent="0.25">
      <c r="A15" t="s">
        <v>78</v>
      </c>
      <c r="B15" t="s">
        <v>44</v>
      </c>
      <c r="C15" s="82">
        <v>-83654</v>
      </c>
      <c r="D15" s="82">
        <v>-246828</v>
      </c>
      <c r="E15" s="81">
        <v>155285</v>
      </c>
      <c r="G15" t="s">
        <v>44</v>
      </c>
      <c r="H15" t="s">
        <v>44</v>
      </c>
      <c r="I15" s="86" t="s">
        <v>44</v>
      </c>
      <c r="J15" s="86" t="s">
        <v>44</v>
      </c>
      <c r="K15" s="86" t="s">
        <v>44</v>
      </c>
    </row>
    <row r="16" spans="1:11" x14ac:dyDescent="0.25">
      <c r="A16" t="s">
        <v>96</v>
      </c>
      <c r="B16" t="s">
        <v>44</v>
      </c>
      <c r="C16" s="82">
        <v>-104068</v>
      </c>
      <c r="D16" s="81">
        <v>22170</v>
      </c>
      <c r="E16" s="81">
        <v>242236</v>
      </c>
      <c r="G16" s="76" t="s">
        <v>98</v>
      </c>
      <c r="I16" s="86" t="s">
        <v>44</v>
      </c>
      <c r="J16" s="86"/>
      <c r="K16" s="86"/>
    </row>
    <row r="17" spans="1:11" x14ac:dyDescent="0.25">
      <c r="A17" t="s">
        <v>97</v>
      </c>
      <c r="B17" t="s">
        <v>44</v>
      </c>
      <c r="C17" s="82">
        <v>-5188</v>
      </c>
      <c r="D17" s="82">
        <v>-2788</v>
      </c>
      <c r="E17" s="86" t="s">
        <v>77</v>
      </c>
      <c r="G17" t="s">
        <v>99</v>
      </c>
      <c r="I17" s="82">
        <v>-77891</v>
      </c>
      <c r="J17" s="82">
        <v>-159413</v>
      </c>
      <c r="K17" s="82">
        <v>-803388</v>
      </c>
    </row>
    <row r="18" spans="1:11" x14ac:dyDescent="0.25">
      <c r="A18" t="s">
        <v>44</v>
      </c>
      <c r="B18" t="s">
        <v>44</v>
      </c>
      <c r="C18" s="86" t="s">
        <v>44</v>
      </c>
      <c r="D18" s="86" t="s">
        <v>44</v>
      </c>
      <c r="E18" t="s">
        <v>44</v>
      </c>
      <c r="G18" t="s">
        <v>100</v>
      </c>
      <c r="I18" s="82">
        <v>-350265</v>
      </c>
      <c r="J18" s="82">
        <v>-576121</v>
      </c>
      <c r="K18" s="82">
        <v>-886863</v>
      </c>
    </row>
    <row r="19" spans="1:11" x14ac:dyDescent="0.25">
      <c r="A19" s="76" t="s">
        <v>98</v>
      </c>
      <c r="C19" s="86"/>
      <c r="D19" s="86"/>
      <c r="E19" t="s">
        <v>44</v>
      </c>
      <c r="G19" t="s">
        <v>101</v>
      </c>
      <c r="I19" s="82">
        <v>-87614</v>
      </c>
      <c r="J19" s="82">
        <v>-790732</v>
      </c>
      <c r="K19" s="81">
        <v>12449</v>
      </c>
    </row>
    <row r="20" spans="1:11" x14ac:dyDescent="0.25">
      <c r="A20" t="s">
        <v>99</v>
      </c>
      <c r="C20" s="81">
        <v>321426</v>
      </c>
      <c r="D20" s="81">
        <v>55811</v>
      </c>
      <c r="E20" s="81">
        <v>86041</v>
      </c>
      <c r="G20" t="s">
        <v>102</v>
      </c>
      <c r="I20" s="81">
        <v>54299</v>
      </c>
      <c r="J20" s="81">
        <v>135029</v>
      </c>
      <c r="K20" s="81">
        <v>414488</v>
      </c>
    </row>
    <row r="21" spans="1:11" x14ac:dyDescent="0.25">
      <c r="A21" t="s">
        <v>100</v>
      </c>
      <c r="C21" s="82">
        <v>-1636541</v>
      </c>
      <c r="D21" s="82">
        <v>-10086</v>
      </c>
      <c r="E21" s="82">
        <v>-2068675</v>
      </c>
      <c r="G21" t="s">
        <v>103</v>
      </c>
      <c r="I21" s="81">
        <v>51081</v>
      </c>
      <c r="J21" s="81">
        <v>402056</v>
      </c>
      <c r="K21" s="81">
        <v>1024779</v>
      </c>
    </row>
    <row r="22" spans="1:11" x14ac:dyDescent="0.25">
      <c r="A22" t="s">
        <v>101</v>
      </c>
      <c r="C22" s="82">
        <v>-4048536</v>
      </c>
      <c r="D22" s="81">
        <v>1744645</v>
      </c>
      <c r="E22" s="81">
        <v>758282</v>
      </c>
      <c r="G22" t="s">
        <v>174</v>
      </c>
      <c r="I22" s="81">
        <v>8721721</v>
      </c>
      <c r="J22" s="81">
        <v>7437415</v>
      </c>
      <c r="K22" s="81">
        <v>12650833</v>
      </c>
    </row>
    <row r="23" spans="1:11" x14ac:dyDescent="0.25">
      <c r="A23" t="s">
        <v>102</v>
      </c>
      <c r="C23" s="81">
        <v>1817220</v>
      </c>
      <c r="D23" s="82">
        <v>-1256426</v>
      </c>
      <c r="E23" s="81">
        <v>222891</v>
      </c>
      <c r="G23" t="s">
        <v>105</v>
      </c>
      <c r="I23" s="81">
        <v>318363</v>
      </c>
      <c r="J23" s="81">
        <v>1864153</v>
      </c>
      <c r="K23" s="81">
        <v>2648869</v>
      </c>
    </row>
    <row r="24" spans="1:11" x14ac:dyDescent="0.25">
      <c r="A24" t="s">
        <v>103</v>
      </c>
      <c r="C24" s="81">
        <v>1882971</v>
      </c>
      <c r="D24" s="82">
        <v>-1422856</v>
      </c>
      <c r="E24" s="82">
        <v>-286616</v>
      </c>
      <c r="G24" t="s">
        <v>106</v>
      </c>
      <c r="H24" t="s">
        <v>44</v>
      </c>
      <c r="I24" s="81">
        <v>1558613</v>
      </c>
      <c r="J24" s="81">
        <v>2410188</v>
      </c>
      <c r="K24" s="81">
        <v>3652639</v>
      </c>
    </row>
    <row r="25" spans="1:11" x14ac:dyDescent="0.25">
      <c r="A25" t="s">
        <v>104</v>
      </c>
      <c r="C25" s="81">
        <v>23934151</v>
      </c>
      <c r="D25" s="81">
        <v>8686493</v>
      </c>
      <c r="E25" s="81">
        <v>749373</v>
      </c>
      <c r="G25" t="s">
        <v>175</v>
      </c>
      <c r="H25" t="s">
        <v>44</v>
      </c>
      <c r="I25" s="86" t="s">
        <v>77</v>
      </c>
      <c r="J25" s="86" t="s">
        <v>77</v>
      </c>
      <c r="K25" s="82">
        <v>-590394</v>
      </c>
    </row>
    <row r="26" spans="1:11" x14ac:dyDescent="0.25">
      <c r="A26" t="s">
        <v>105</v>
      </c>
      <c r="C26" s="81">
        <v>5849148</v>
      </c>
      <c r="D26" s="81">
        <v>3492038</v>
      </c>
      <c r="E26" s="81">
        <v>7003998</v>
      </c>
      <c r="G26" t="s">
        <v>107</v>
      </c>
      <c r="H26" t="s">
        <v>44</v>
      </c>
      <c r="I26" s="86" t="s">
        <v>77</v>
      </c>
      <c r="J26" s="86" t="s">
        <v>77</v>
      </c>
      <c r="K26" s="81">
        <v>544327</v>
      </c>
    </row>
    <row r="27" spans="1:11" x14ac:dyDescent="0.25">
      <c r="A27" t="s">
        <v>106</v>
      </c>
      <c r="B27" t="s">
        <v>44</v>
      </c>
      <c r="C27" s="81">
        <v>3085407</v>
      </c>
      <c r="D27" s="81">
        <v>2651233</v>
      </c>
      <c r="E27" s="81">
        <v>1480677</v>
      </c>
      <c r="G27" t="s">
        <v>108</v>
      </c>
      <c r="H27" t="s">
        <v>44</v>
      </c>
      <c r="I27" s="86" t="s">
        <v>77</v>
      </c>
      <c r="J27" s="86" t="s">
        <v>77</v>
      </c>
      <c r="K27" s="82">
        <v>-69471</v>
      </c>
    </row>
    <row r="28" spans="1:11" x14ac:dyDescent="0.25">
      <c r="A28" t="s">
        <v>107</v>
      </c>
      <c r="B28" t="s">
        <v>44</v>
      </c>
      <c r="C28" s="82">
        <v>-137936</v>
      </c>
      <c r="D28" s="82">
        <v>-354123</v>
      </c>
      <c r="E28" s="82">
        <v>-487068</v>
      </c>
      <c r="G28" t="s">
        <v>109</v>
      </c>
      <c r="I28" s="86" t="s">
        <v>77</v>
      </c>
      <c r="J28" s="86" t="s">
        <v>77</v>
      </c>
      <c r="K28" s="81">
        <v>7389</v>
      </c>
    </row>
    <row r="29" spans="1:11" x14ac:dyDescent="0.25">
      <c r="A29" t="s">
        <v>108</v>
      </c>
      <c r="B29" t="s">
        <v>44</v>
      </c>
      <c r="C29" s="82">
        <v>-13182</v>
      </c>
      <c r="D29" s="82">
        <v>-23102</v>
      </c>
      <c r="E29" s="82">
        <v>-34492</v>
      </c>
      <c r="G29" s="76" t="s">
        <v>176</v>
      </c>
      <c r="H29" s="76"/>
      <c r="I29" s="83">
        <v>9686328</v>
      </c>
      <c r="J29" s="83">
        <v>7767927</v>
      </c>
      <c r="K29" s="83">
        <v>14820976</v>
      </c>
    </row>
    <row r="30" spans="1:11" x14ac:dyDescent="0.25">
      <c r="A30" t="s">
        <v>109</v>
      </c>
      <c r="C30" s="82">
        <v>-4471</v>
      </c>
      <c r="D30" s="82">
        <v>-1922</v>
      </c>
      <c r="E30" s="82">
        <v>-996</v>
      </c>
      <c r="G30" s="76" t="s">
        <v>111</v>
      </c>
      <c r="I30" t="s">
        <v>44</v>
      </c>
      <c r="J30" t="s">
        <v>44</v>
      </c>
      <c r="K30" s="86"/>
    </row>
    <row r="31" spans="1:11" x14ac:dyDescent="0.25">
      <c r="A31" s="76" t="s">
        <v>110</v>
      </c>
      <c r="B31" s="76"/>
      <c r="C31" s="83">
        <v>28196627</v>
      </c>
      <c r="D31" s="83">
        <v>28783011</v>
      </c>
      <c r="E31" s="83">
        <v>48507860</v>
      </c>
      <c r="G31" t="s">
        <v>177</v>
      </c>
      <c r="H31" t="s">
        <v>44</v>
      </c>
      <c r="I31" s="82">
        <v>-1393000</v>
      </c>
      <c r="J31" s="82">
        <v>-7516370</v>
      </c>
      <c r="K31" s="82">
        <v>-52451615</v>
      </c>
    </row>
    <row r="32" spans="1:11" x14ac:dyDescent="0.25">
      <c r="A32" s="76" t="s">
        <v>111</v>
      </c>
      <c r="C32" s="86"/>
      <c r="D32" s="86"/>
      <c r="E32" t="s">
        <v>44</v>
      </c>
      <c r="G32" t="s">
        <v>178</v>
      </c>
      <c r="I32" s="81">
        <v>1633000</v>
      </c>
      <c r="J32" s="81">
        <v>50000</v>
      </c>
      <c r="K32" s="81">
        <v>24797630</v>
      </c>
    </row>
    <row r="33" spans="1:11" x14ac:dyDescent="0.25">
      <c r="A33" t="s">
        <v>112</v>
      </c>
      <c r="B33" t="s">
        <v>44</v>
      </c>
      <c r="C33" s="82">
        <v>-86438068</v>
      </c>
      <c r="D33" s="82">
        <v>-116639550</v>
      </c>
      <c r="E33" s="82">
        <v>-160414453</v>
      </c>
      <c r="G33" t="s">
        <v>179</v>
      </c>
      <c r="H33" t="s">
        <v>44</v>
      </c>
      <c r="I33" s="86" t="s">
        <v>77</v>
      </c>
      <c r="J33" s="82">
        <v>-184637</v>
      </c>
      <c r="K33" s="82">
        <v>-214100</v>
      </c>
    </row>
    <row r="34" spans="1:11" x14ac:dyDescent="0.25">
      <c r="A34" t="s">
        <v>113</v>
      </c>
      <c r="C34" s="81">
        <v>55083390</v>
      </c>
      <c r="D34" s="81">
        <v>97547038</v>
      </c>
      <c r="E34" s="81">
        <v>141928351</v>
      </c>
      <c r="G34" t="s">
        <v>180</v>
      </c>
      <c r="I34" s="86" t="s">
        <v>77</v>
      </c>
      <c r="J34" s="81">
        <v>5000</v>
      </c>
      <c r="K34" s="86" t="s">
        <v>77</v>
      </c>
    </row>
    <row r="35" spans="1:11" x14ac:dyDescent="0.25">
      <c r="A35" t="s">
        <v>114</v>
      </c>
      <c r="B35" t="s">
        <v>44</v>
      </c>
      <c r="C35" s="86" t="s">
        <v>77</v>
      </c>
      <c r="D35" s="86" t="s">
        <v>77</v>
      </c>
      <c r="E35" s="82">
        <v>-3581868</v>
      </c>
      <c r="G35" t="s">
        <v>181</v>
      </c>
      <c r="I35" s="82">
        <v>-8921</v>
      </c>
      <c r="J35" s="82">
        <v>-27331</v>
      </c>
      <c r="K35" s="82">
        <v>-27436</v>
      </c>
    </row>
    <row r="36" spans="1:11" x14ac:dyDescent="0.25">
      <c r="A36" t="s">
        <v>115</v>
      </c>
      <c r="B36" t="s">
        <v>44</v>
      </c>
      <c r="C36" s="82">
        <v>-6722228</v>
      </c>
      <c r="D36" s="82">
        <v>-13628052</v>
      </c>
      <c r="E36" s="82">
        <v>-6795838</v>
      </c>
      <c r="G36" t="s">
        <v>118</v>
      </c>
      <c r="H36" t="s">
        <v>44</v>
      </c>
      <c r="I36" s="81">
        <v>362</v>
      </c>
      <c r="J36" s="81">
        <v>39</v>
      </c>
      <c r="K36" s="81">
        <v>475</v>
      </c>
    </row>
    <row r="37" spans="1:11" x14ac:dyDescent="0.25">
      <c r="A37" t="s">
        <v>116</v>
      </c>
      <c r="B37" t="s">
        <v>44</v>
      </c>
      <c r="C37" s="86" t="s">
        <v>77</v>
      </c>
      <c r="D37" s="86" t="s">
        <v>77</v>
      </c>
      <c r="E37" s="81">
        <v>7137814</v>
      </c>
      <c r="G37" t="s">
        <v>182</v>
      </c>
      <c r="H37" t="s">
        <v>44</v>
      </c>
      <c r="I37" s="82">
        <v>-159790</v>
      </c>
      <c r="J37" s="86" t="s">
        <v>77</v>
      </c>
      <c r="K37" s="82">
        <v>-459632</v>
      </c>
    </row>
    <row r="38" spans="1:11" x14ac:dyDescent="0.25">
      <c r="A38" t="s">
        <v>117</v>
      </c>
      <c r="B38" t="s">
        <v>44</v>
      </c>
      <c r="C38" s="82">
        <v>-43046</v>
      </c>
      <c r="D38" s="82">
        <v>-3287232</v>
      </c>
      <c r="E38" s="82">
        <v>-635716</v>
      </c>
      <c r="G38" t="s">
        <v>183</v>
      </c>
      <c r="H38" t="s">
        <v>44</v>
      </c>
      <c r="I38" s="86" t="s">
        <v>77</v>
      </c>
      <c r="J38" s="81">
        <v>159790</v>
      </c>
      <c r="K38" s="86" t="s">
        <v>77</v>
      </c>
    </row>
    <row r="39" spans="1:11" x14ac:dyDescent="0.25">
      <c r="A39" t="s">
        <v>118</v>
      </c>
      <c r="B39" t="s">
        <v>44</v>
      </c>
      <c r="C39" s="81">
        <v>51</v>
      </c>
      <c r="D39" s="81">
        <v>394</v>
      </c>
      <c r="E39" s="81">
        <v>40</v>
      </c>
      <c r="G39" t="s">
        <v>184</v>
      </c>
      <c r="H39" t="s">
        <v>44</v>
      </c>
      <c r="I39" s="86" t="s">
        <v>77</v>
      </c>
      <c r="J39" s="82">
        <v>-35000</v>
      </c>
      <c r="K39" s="81">
        <v>35000</v>
      </c>
    </row>
    <row r="40" spans="1:11" x14ac:dyDescent="0.25">
      <c r="A40" t="s">
        <v>119</v>
      </c>
      <c r="B40" t="s">
        <v>44</v>
      </c>
      <c r="C40" s="82">
        <v>-238000</v>
      </c>
      <c r="D40" s="86" t="s">
        <v>77</v>
      </c>
      <c r="E40" s="86" t="s">
        <v>77</v>
      </c>
      <c r="G40" s="76" t="s">
        <v>185</v>
      </c>
      <c r="H40" s="76"/>
      <c r="I40" s="83">
        <v>71651</v>
      </c>
      <c r="J40" s="85">
        <v>-7548509</v>
      </c>
      <c r="K40" s="85">
        <v>-28319678</v>
      </c>
    </row>
    <row r="41" spans="1:11" x14ac:dyDescent="0.25">
      <c r="A41" t="s">
        <v>120</v>
      </c>
      <c r="B41" t="s">
        <v>44</v>
      </c>
      <c r="C41" s="86" t="s">
        <v>77</v>
      </c>
      <c r="D41" s="81">
        <v>445037</v>
      </c>
      <c r="E41" s="86" t="s">
        <v>77</v>
      </c>
      <c r="G41" s="76" t="s">
        <v>122</v>
      </c>
      <c r="I41" s="86"/>
      <c r="J41" s="86"/>
      <c r="K41" s="86"/>
    </row>
    <row r="42" spans="1:11" x14ac:dyDescent="0.25">
      <c r="A42" s="76" t="s">
        <v>121</v>
      </c>
      <c r="B42" s="76"/>
      <c r="C42" s="85">
        <v>-38357901</v>
      </c>
      <c r="D42" s="85">
        <v>-35562365</v>
      </c>
      <c r="E42" s="85">
        <v>-22361670</v>
      </c>
      <c r="G42" t="s">
        <v>186</v>
      </c>
      <c r="I42" s="86" t="s">
        <v>77</v>
      </c>
      <c r="J42" s="81">
        <v>11879944</v>
      </c>
      <c r="K42" s="86" t="s">
        <v>77</v>
      </c>
    </row>
    <row r="43" spans="1:11" x14ac:dyDescent="0.25">
      <c r="A43" s="76" t="s">
        <v>122</v>
      </c>
      <c r="C43" s="86"/>
      <c r="D43" s="86"/>
      <c r="E43" t="s">
        <v>44</v>
      </c>
      <c r="G43" t="s">
        <v>187</v>
      </c>
      <c r="H43" t="s">
        <v>44</v>
      </c>
      <c r="I43" s="86" t="s">
        <v>77</v>
      </c>
      <c r="J43" s="82">
        <v>-356313</v>
      </c>
      <c r="K43" s="86" t="s">
        <v>77</v>
      </c>
    </row>
    <row r="44" spans="1:11" x14ac:dyDescent="0.25">
      <c r="A44" t="s">
        <v>123</v>
      </c>
      <c r="C44" s="81">
        <v>26805438</v>
      </c>
      <c r="D44" s="86" t="s">
        <v>77</v>
      </c>
      <c r="E44" s="86" t="s">
        <v>77</v>
      </c>
      <c r="G44" t="s">
        <v>188</v>
      </c>
      <c r="I44" s="86" t="s">
        <v>77</v>
      </c>
      <c r="J44" s="86" t="s">
        <v>77</v>
      </c>
      <c r="K44" s="81">
        <v>8194597</v>
      </c>
    </row>
    <row r="45" spans="1:11" x14ac:dyDescent="0.25">
      <c r="A45" t="s">
        <v>124</v>
      </c>
      <c r="B45" t="s">
        <v>44</v>
      </c>
      <c r="C45" s="81">
        <v>11063339</v>
      </c>
      <c r="D45" s="86" t="s">
        <v>77</v>
      </c>
      <c r="E45" s="86" t="s">
        <v>77</v>
      </c>
      <c r="G45" t="s">
        <v>189</v>
      </c>
      <c r="H45" t="s">
        <v>44</v>
      </c>
      <c r="I45" s="86" t="s">
        <v>77</v>
      </c>
      <c r="J45" s="86" t="s">
        <v>77</v>
      </c>
      <c r="K45" s="82">
        <v>-200769</v>
      </c>
    </row>
    <row r="46" spans="1:11" x14ac:dyDescent="0.25">
      <c r="A46" t="s">
        <v>125</v>
      </c>
      <c r="B46" t="s">
        <v>44</v>
      </c>
      <c r="C46" s="81">
        <v>13024199</v>
      </c>
      <c r="D46" s="86" t="s">
        <v>77</v>
      </c>
      <c r="E46" s="86" t="s">
        <v>77</v>
      </c>
      <c r="G46" t="s">
        <v>190</v>
      </c>
      <c r="I46" s="81">
        <v>1446906</v>
      </c>
      <c r="J46" s="81">
        <v>5824568</v>
      </c>
      <c r="K46" s="86" t="s">
        <v>77</v>
      </c>
    </row>
    <row r="47" spans="1:11" x14ac:dyDescent="0.25">
      <c r="A47" t="s">
        <v>126</v>
      </c>
      <c r="B47" t="s">
        <v>44</v>
      </c>
      <c r="C47" s="81">
        <v>1828923</v>
      </c>
      <c r="D47" s="86" t="s">
        <v>77</v>
      </c>
      <c r="E47" s="86" t="s">
        <v>77</v>
      </c>
      <c r="G47" t="s">
        <v>191</v>
      </c>
      <c r="I47" s="82">
        <v>-15369</v>
      </c>
      <c r="J47" s="82">
        <v>-3842</v>
      </c>
      <c r="K47" s="86" t="s">
        <v>77</v>
      </c>
    </row>
    <row r="48" spans="1:11" x14ac:dyDescent="0.25">
      <c r="A48" t="s">
        <v>127</v>
      </c>
      <c r="B48" t="s">
        <v>44</v>
      </c>
      <c r="C48" s="82">
        <v>-922897</v>
      </c>
      <c r="D48" s="82">
        <v>-1875472</v>
      </c>
      <c r="E48" s="86" t="s">
        <v>77</v>
      </c>
      <c r="G48" t="s">
        <v>192</v>
      </c>
      <c r="H48" t="s">
        <v>44</v>
      </c>
      <c r="I48" s="82">
        <v>-32677</v>
      </c>
      <c r="J48" s="86" t="s">
        <v>77</v>
      </c>
      <c r="K48" s="86" t="s">
        <v>77</v>
      </c>
    </row>
    <row r="49" spans="1:11" x14ac:dyDescent="0.25">
      <c r="A49" t="s">
        <v>120</v>
      </c>
      <c r="B49" t="s">
        <v>44</v>
      </c>
      <c r="C49" s="82">
        <v>-6</v>
      </c>
      <c r="D49" s="81">
        <v>318</v>
      </c>
      <c r="E49" s="81">
        <v>10079</v>
      </c>
      <c r="G49" t="s">
        <v>193</v>
      </c>
      <c r="H49" t="s">
        <v>44</v>
      </c>
      <c r="I49" s="86" t="s">
        <v>77</v>
      </c>
      <c r="J49" s="86" t="s">
        <v>77</v>
      </c>
      <c r="K49" s="81">
        <v>7073101</v>
      </c>
    </row>
    <row r="50" spans="1:11" x14ac:dyDescent="0.25">
      <c r="A50" s="76" t="s">
        <v>128</v>
      </c>
      <c r="B50" s="76"/>
      <c r="C50" s="83">
        <v>51798996</v>
      </c>
      <c r="D50" s="85">
        <v>-1875154</v>
      </c>
      <c r="E50" s="83">
        <v>10079</v>
      </c>
      <c r="G50" t="s">
        <v>194</v>
      </c>
      <c r="H50" t="s">
        <v>44</v>
      </c>
      <c r="I50" s="86" t="s">
        <v>77</v>
      </c>
      <c r="J50" s="86" t="s">
        <v>77</v>
      </c>
      <c r="K50" s="82">
        <v>-109220</v>
      </c>
    </row>
    <row r="51" spans="1:11" x14ac:dyDescent="0.25">
      <c r="A51" s="76" t="s">
        <v>129</v>
      </c>
      <c r="B51" s="76"/>
      <c r="C51" s="85">
        <v>-139943</v>
      </c>
      <c r="D51" s="85">
        <v>-145157</v>
      </c>
      <c r="E51" s="83">
        <v>100177</v>
      </c>
      <c r="G51" t="s">
        <v>126</v>
      </c>
      <c r="H51" t="s">
        <v>44</v>
      </c>
      <c r="I51" s="86" t="s">
        <v>77</v>
      </c>
      <c r="J51" s="86" t="s">
        <v>77</v>
      </c>
      <c r="K51" s="81">
        <v>897022</v>
      </c>
    </row>
    <row r="52" spans="1:11" x14ac:dyDescent="0.25">
      <c r="A52" t="s">
        <v>130</v>
      </c>
      <c r="C52" s="81">
        <v>41497779</v>
      </c>
      <c r="D52" s="82">
        <v>-8799665</v>
      </c>
      <c r="E52" s="81">
        <v>26256446</v>
      </c>
      <c r="G52" s="76" t="s">
        <v>195</v>
      </c>
      <c r="H52" s="76"/>
      <c r="I52" s="83">
        <v>1398860</v>
      </c>
      <c r="J52" s="83">
        <v>17344357</v>
      </c>
      <c r="K52" s="83">
        <v>15854731</v>
      </c>
    </row>
    <row r="53" spans="1:11" x14ac:dyDescent="0.25">
      <c r="A53" t="s">
        <v>131</v>
      </c>
      <c r="C53" s="81">
        <v>33345857</v>
      </c>
      <c r="D53" s="81">
        <v>74843636</v>
      </c>
      <c r="E53" s="81">
        <v>66043971</v>
      </c>
      <c r="G53" s="76" t="s">
        <v>129</v>
      </c>
      <c r="H53" s="76"/>
      <c r="I53" s="85">
        <v>-47681</v>
      </c>
      <c r="J53" s="83">
        <v>546910</v>
      </c>
      <c r="K53" s="83">
        <v>450142</v>
      </c>
    </row>
    <row r="54" spans="1:11" x14ac:dyDescent="0.25">
      <c r="A54" s="76" t="s">
        <v>132</v>
      </c>
      <c r="B54" s="76"/>
      <c r="C54" s="83">
        <v>74843636</v>
      </c>
      <c r="D54" s="83">
        <v>66043971</v>
      </c>
      <c r="E54" s="83">
        <v>92300417</v>
      </c>
      <c r="G54" t="s">
        <v>196</v>
      </c>
      <c r="I54" s="81">
        <v>11109158</v>
      </c>
      <c r="J54" s="81">
        <v>18110685</v>
      </c>
      <c r="K54" s="81">
        <v>2806171</v>
      </c>
    </row>
    <row r="55" spans="1:11" x14ac:dyDescent="0.25">
      <c r="A55" s="76" t="s">
        <v>133</v>
      </c>
      <c r="C55" s="86"/>
      <c r="D55" s="86"/>
      <c r="E55" t="s">
        <v>44</v>
      </c>
      <c r="G55" t="s">
        <v>197</v>
      </c>
      <c r="I55" s="81">
        <v>1319843</v>
      </c>
      <c r="J55" s="81">
        <v>12429001</v>
      </c>
      <c r="K55" s="81">
        <v>30539686</v>
      </c>
    </row>
    <row r="56" spans="1:11" x14ac:dyDescent="0.25">
      <c r="A56" t="s">
        <v>134</v>
      </c>
      <c r="C56" s="81">
        <v>1881812</v>
      </c>
      <c r="D56" s="81">
        <v>2936860</v>
      </c>
      <c r="E56" s="81">
        <v>3567738</v>
      </c>
      <c r="G56" s="76" t="s">
        <v>198</v>
      </c>
      <c r="H56" s="76"/>
      <c r="I56" s="83">
        <v>12429001</v>
      </c>
      <c r="J56" s="83">
        <v>30539686</v>
      </c>
      <c r="K56" s="83">
        <v>33345857</v>
      </c>
    </row>
    <row r="57" spans="1:11" x14ac:dyDescent="0.25">
      <c r="A57" t="s">
        <v>135</v>
      </c>
      <c r="B57" t="s">
        <v>44</v>
      </c>
      <c r="C57" s="86" t="s">
        <v>77</v>
      </c>
      <c r="D57" s="86" t="s">
        <v>77</v>
      </c>
      <c r="E57" s="81">
        <v>4881252</v>
      </c>
      <c r="G57" s="76" t="s">
        <v>199</v>
      </c>
      <c r="I57" s="86" t="s">
        <v>44</v>
      </c>
      <c r="J57" s="86"/>
      <c r="K57" s="86"/>
    </row>
    <row r="58" spans="1:11" x14ac:dyDescent="0.25">
      <c r="A58" t="s">
        <v>44</v>
      </c>
      <c r="B58" t="s">
        <v>44</v>
      </c>
      <c r="C58" s="86" t="s">
        <v>44</v>
      </c>
      <c r="D58" t="s">
        <v>44</v>
      </c>
      <c r="E58" t="s">
        <v>44</v>
      </c>
      <c r="G58" t="s">
        <v>200</v>
      </c>
      <c r="I58" s="81">
        <v>52150</v>
      </c>
      <c r="J58" s="81">
        <v>433390</v>
      </c>
      <c r="K58" s="81">
        <v>1211443</v>
      </c>
    </row>
    <row r="59" spans="1:11" x14ac:dyDescent="0.25">
      <c r="A59" s="76" t="s">
        <v>136</v>
      </c>
      <c r="B59" t="s">
        <v>44</v>
      </c>
      <c r="C59" s="86" t="s">
        <v>44</v>
      </c>
      <c r="D59" t="s">
        <v>44</v>
      </c>
      <c r="E59" t="s">
        <v>44</v>
      </c>
      <c r="G59" t="s">
        <v>44</v>
      </c>
      <c r="H59" t="s">
        <v>44</v>
      </c>
      <c r="I59" s="86" t="s">
        <v>44</v>
      </c>
      <c r="J59" s="86" t="s">
        <v>44</v>
      </c>
      <c r="K59" s="86" t="s">
        <v>44</v>
      </c>
    </row>
    <row r="60" spans="1:11" x14ac:dyDescent="0.25">
      <c r="A60" t="s">
        <v>137</v>
      </c>
      <c r="B60" t="s">
        <v>44</v>
      </c>
      <c r="C60" s="81">
        <v>265821</v>
      </c>
      <c r="D60" s="81">
        <v>704142</v>
      </c>
      <c r="E60" s="81">
        <v>1068063</v>
      </c>
      <c r="G60" s="76" t="s">
        <v>201</v>
      </c>
      <c r="H60" t="s">
        <v>44</v>
      </c>
      <c r="I60" s="86" t="s">
        <v>44</v>
      </c>
      <c r="J60" s="86" t="s">
        <v>44</v>
      </c>
      <c r="K60" s="86" t="s">
        <v>44</v>
      </c>
    </row>
    <row r="61" spans="1:11" x14ac:dyDescent="0.25">
      <c r="A61" t="s">
        <v>44</v>
      </c>
      <c r="B61" t="s">
        <v>44</v>
      </c>
      <c r="C61" s="86" t="s">
        <v>44</v>
      </c>
      <c r="D61" t="s">
        <v>44</v>
      </c>
      <c r="E61" t="s">
        <v>44</v>
      </c>
      <c r="G61" t="s">
        <v>137</v>
      </c>
      <c r="H61" t="s">
        <v>44</v>
      </c>
      <c r="I61" s="86" t="s">
        <v>77</v>
      </c>
      <c r="J61" s="86" t="s">
        <v>77</v>
      </c>
      <c r="K61" s="81">
        <v>632507</v>
      </c>
    </row>
    <row r="62" spans="1:11" x14ac:dyDescent="0.25">
      <c r="A62" s="76" t="s">
        <v>138</v>
      </c>
      <c r="C62" s="86" t="s">
        <v>44</v>
      </c>
      <c r="D62" t="s">
        <v>44</v>
      </c>
      <c r="E62" t="s">
        <v>44</v>
      </c>
      <c r="G62" t="s">
        <v>44</v>
      </c>
      <c r="H62" t="s">
        <v>44</v>
      </c>
      <c r="I62" s="86" t="s">
        <v>44</v>
      </c>
      <c r="J62" s="86" t="s">
        <v>44</v>
      </c>
      <c r="K62" s="86" t="s">
        <v>44</v>
      </c>
    </row>
    <row r="63" spans="1:11" x14ac:dyDescent="0.25">
      <c r="A63" t="s">
        <v>139</v>
      </c>
      <c r="B63" t="s">
        <v>44</v>
      </c>
      <c r="C63" s="81">
        <v>162641</v>
      </c>
      <c r="D63" s="81">
        <v>194385</v>
      </c>
      <c r="E63" s="81">
        <v>136411</v>
      </c>
      <c r="G63" s="76" t="s">
        <v>202</v>
      </c>
      <c r="I63" s="86" t="s">
        <v>44</v>
      </c>
      <c r="J63" s="86" t="s">
        <v>44</v>
      </c>
      <c r="K63" s="86" t="s">
        <v>44</v>
      </c>
    </row>
    <row r="64" spans="1:11" x14ac:dyDescent="0.25">
      <c r="A64" s="76" t="s">
        <v>140</v>
      </c>
      <c r="B64" t="s">
        <v>44</v>
      </c>
      <c r="C64" s="86" t="s">
        <v>44</v>
      </c>
      <c r="D64" t="s">
        <v>44</v>
      </c>
      <c r="E64" t="s">
        <v>44</v>
      </c>
      <c r="G64" t="s">
        <v>139</v>
      </c>
      <c r="H64" t="s">
        <v>44</v>
      </c>
      <c r="I64" s="81">
        <v>198</v>
      </c>
      <c r="J64" s="81">
        <v>1319</v>
      </c>
      <c r="K64" s="81">
        <v>2160</v>
      </c>
    </row>
    <row r="65" spans="1:11" x14ac:dyDescent="0.25">
      <c r="A65" t="s">
        <v>141</v>
      </c>
      <c r="B65" t="s">
        <v>44</v>
      </c>
      <c r="C65" s="81">
        <v>22421189</v>
      </c>
      <c r="D65" s="81">
        <v>6426715</v>
      </c>
      <c r="E65" s="81">
        <v>34326192</v>
      </c>
      <c r="G65" t="s">
        <v>203</v>
      </c>
      <c r="H65" t="s">
        <v>44</v>
      </c>
      <c r="I65" s="86" t="s">
        <v>77</v>
      </c>
      <c r="J65" s="81">
        <v>2852370</v>
      </c>
      <c r="K65" s="86" t="s">
        <v>77</v>
      </c>
    </row>
    <row r="66" spans="1:11" x14ac:dyDescent="0.25">
      <c r="A66" t="s">
        <v>142</v>
      </c>
      <c r="B66" t="s">
        <v>44</v>
      </c>
      <c r="C66" s="81">
        <v>52422447</v>
      </c>
      <c r="D66" s="81">
        <v>59617256</v>
      </c>
      <c r="E66" s="81">
        <v>57974225</v>
      </c>
      <c r="G66" s="76" t="s">
        <v>140</v>
      </c>
      <c r="H66" t="s">
        <v>44</v>
      </c>
      <c r="I66" s="86" t="s">
        <v>44</v>
      </c>
      <c r="J66" s="86" t="s">
        <v>44</v>
      </c>
      <c r="K66" s="86" t="s">
        <v>44</v>
      </c>
    </row>
    <row r="67" spans="1:11" x14ac:dyDescent="0.25">
      <c r="A67" s="76" t="s">
        <v>143</v>
      </c>
      <c r="C67" s="83">
        <v>74843636</v>
      </c>
      <c r="D67" s="83">
        <v>66043971</v>
      </c>
      <c r="E67" s="83">
        <v>92300417</v>
      </c>
      <c r="G67" t="s">
        <v>141</v>
      </c>
      <c r="H67" t="s">
        <v>44</v>
      </c>
      <c r="I67" s="81">
        <v>3058152</v>
      </c>
      <c r="J67" s="81">
        <v>14160322</v>
      </c>
      <c r="K67" s="81">
        <v>5768186</v>
      </c>
    </row>
    <row r="68" spans="1:11" x14ac:dyDescent="0.25">
      <c r="G68" t="s">
        <v>142</v>
      </c>
      <c r="H68" t="s">
        <v>44</v>
      </c>
      <c r="I68" s="81">
        <v>9370849</v>
      </c>
      <c r="J68" s="81">
        <v>16379364</v>
      </c>
      <c r="K68" s="81">
        <v>27577671</v>
      </c>
    </row>
    <row r="69" spans="1:11" x14ac:dyDescent="0.25">
      <c r="G69" s="76" t="s">
        <v>143</v>
      </c>
      <c r="I69" s="83">
        <v>12429001</v>
      </c>
      <c r="J69" s="83">
        <v>30539686</v>
      </c>
      <c r="K69" s="83">
        <v>33345857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1"/>
  <sheetViews>
    <sheetView workbookViewId="0">
      <selection activeCell="F15" sqref="F15"/>
    </sheetView>
  </sheetViews>
  <sheetFormatPr defaultRowHeight="15" x14ac:dyDescent="0.25"/>
  <cols>
    <col min="3" max="3" width="12.42578125" customWidth="1"/>
    <col min="11" max="11" width="13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23.25" x14ac:dyDescent="0.35">
      <c r="A2" s="2"/>
      <c r="B2" s="41" t="s">
        <v>1</v>
      </c>
      <c r="C2" s="2"/>
      <c r="D2" s="2"/>
      <c r="E2" s="2"/>
      <c r="F2" s="2"/>
      <c r="G2" s="2"/>
      <c r="H2" s="2"/>
      <c r="I2" s="2"/>
      <c r="J2" s="2"/>
      <c r="K2" s="2"/>
      <c r="L2" s="42"/>
    </row>
    <row r="3" spans="1:14" x14ac:dyDescent="0.25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2"/>
    </row>
    <row r="4" spans="1:14" x14ac:dyDescent="0.25">
      <c r="A4" s="44" t="s">
        <v>45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 t="s">
        <v>46</v>
      </c>
      <c r="C6" s="2"/>
      <c r="D6" s="45">
        <v>0.23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 t="s">
        <v>47</v>
      </c>
      <c r="C7" s="2"/>
      <c r="D7" s="45">
        <v>3.6999999999999998E-2</v>
      </c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 t="s">
        <v>48</v>
      </c>
      <c r="C8" s="2"/>
      <c r="D8" s="46">
        <v>0.73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 t="s">
        <v>49</v>
      </c>
      <c r="C9" s="2"/>
      <c r="D9" s="45">
        <v>0.06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8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 t="s">
        <v>39</v>
      </c>
      <c r="B12" s="2"/>
      <c r="C12" s="24">
        <f>'PDD DCF'!D70</f>
        <v>116817422.715</v>
      </c>
      <c r="D12" s="2"/>
      <c r="E12" s="2" t="s">
        <v>38</v>
      </c>
      <c r="F12" s="2"/>
      <c r="G12" s="24">
        <f>'PDD DCF'!D67/'PDD DCF'!D72</f>
        <v>5534448.6676016832</v>
      </c>
      <c r="H12" s="2"/>
      <c r="I12" s="2" t="s">
        <v>50</v>
      </c>
      <c r="J12" s="2"/>
      <c r="K12" s="24">
        <f>G12+C12</f>
        <v>122351871.38260169</v>
      </c>
      <c r="L12" s="2"/>
    </row>
    <row r="13" spans="1:14" x14ac:dyDescent="0.25">
      <c r="A13" s="2" t="s">
        <v>51</v>
      </c>
      <c r="B13" s="2"/>
      <c r="C13" s="47">
        <f>C12/K12</f>
        <v>0.95476612981018383</v>
      </c>
      <c r="D13" s="2"/>
      <c r="E13" s="2" t="s">
        <v>52</v>
      </c>
      <c r="F13" s="2"/>
      <c r="G13" s="48">
        <f>G12/K12</f>
        <v>4.5233870189816124E-2</v>
      </c>
      <c r="H13" s="2"/>
      <c r="I13" s="2"/>
      <c r="J13" s="2"/>
      <c r="K13" s="2"/>
      <c r="L13" s="2"/>
      <c r="M13" s="38"/>
    </row>
    <row r="14" spans="1:14" x14ac:dyDescent="0.25">
      <c r="A14" s="2" t="s">
        <v>53</v>
      </c>
      <c r="B14" s="2"/>
      <c r="C14" s="49">
        <f>D7+D8*(D9)</f>
        <v>8.0799999999999997E-2</v>
      </c>
      <c r="D14" s="2"/>
      <c r="E14" s="2" t="s">
        <v>54</v>
      </c>
      <c r="F14" s="2"/>
      <c r="G14" s="50">
        <v>0.05</v>
      </c>
      <c r="H14" s="2"/>
      <c r="I14" s="51" t="s">
        <v>1</v>
      </c>
      <c r="J14" s="52"/>
      <c r="K14" s="53">
        <f>C13*C14+G14*G13*(1-D6)</f>
        <v>7.8886607290970773E-2</v>
      </c>
      <c r="L14" s="2"/>
    </row>
    <row r="15" spans="1:14" x14ac:dyDescent="0.25">
      <c r="D15" s="38"/>
      <c r="G15" s="38"/>
      <c r="J15" s="38"/>
      <c r="M15" s="38"/>
    </row>
    <row r="16" spans="1:14" x14ac:dyDescent="0.25">
      <c r="A16" t="s">
        <v>44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</row>
    <row r="17" spans="4:13" x14ac:dyDescent="0.25">
      <c r="D17" s="38"/>
      <c r="G17" s="38"/>
      <c r="J17" s="38"/>
      <c r="M17" s="38"/>
    </row>
    <row r="21" spans="4:13" x14ac:dyDescent="0.25">
      <c r="D21" s="38"/>
      <c r="E21" s="38"/>
      <c r="F21" s="38"/>
      <c r="G21" s="38"/>
      <c r="H21" s="38"/>
      <c r="I21" s="38"/>
      <c r="J21" s="38"/>
      <c r="K21" s="38"/>
      <c r="L21" s="38"/>
      <c r="M21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PDD DCF</vt:lpstr>
      <vt:lpstr>Raw IS</vt:lpstr>
      <vt:lpstr>Raw 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2023-06-17T20:57:44Z</dcterms:modified>
</cp:coreProperties>
</file>