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68895FF4-4AA7-4536-826F-38D61BA57145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MHK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I28" i="1"/>
  <c r="D6" i="2"/>
  <c r="I45" i="1"/>
  <c r="I12" i="1"/>
  <c r="D61" i="1"/>
  <c r="D64" i="1"/>
  <c r="D65" i="1" s="1"/>
  <c r="C12" i="2" s="1"/>
  <c r="I22" i="1"/>
  <c r="D23" i="1"/>
  <c r="E23" i="1"/>
  <c r="F23" i="1"/>
  <c r="G23" i="1"/>
  <c r="G28" i="1" s="1"/>
  <c r="G29" i="1" s="1"/>
  <c r="H23" i="1"/>
  <c r="C23" i="1"/>
  <c r="C20" i="1"/>
  <c r="D20" i="1"/>
  <c r="E20" i="1"/>
  <c r="F20" i="1"/>
  <c r="F28" i="1" s="1"/>
  <c r="G20" i="1"/>
  <c r="H20" i="1"/>
  <c r="H12" i="1"/>
  <c r="H25" i="1"/>
  <c r="N17" i="1"/>
  <c r="O17" i="1" s="1"/>
  <c r="P17" i="1" s="1"/>
  <c r="Q17" i="1" s="1"/>
  <c r="R17" i="1" s="1"/>
  <c r="C14" i="2"/>
  <c r="G12" i="2"/>
  <c r="G12" i="1"/>
  <c r="H43" i="1"/>
  <c r="G43" i="1"/>
  <c r="F43" i="1"/>
  <c r="C49" i="1"/>
  <c r="D43" i="1"/>
  <c r="C43" i="1"/>
  <c r="H49" i="1"/>
  <c r="G49" i="1"/>
  <c r="F49" i="1"/>
  <c r="E49" i="1"/>
  <c r="D49" i="1"/>
  <c r="H46" i="1"/>
  <c r="G46" i="1"/>
  <c r="F46" i="1"/>
  <c r="E46" i="1"/>
  <c r="D46" i="1"/>
  <c r="C46" i="1"/>
  <c r="E43" i="1"/>
  <c r="H16" i="1"/>
  <c r="H17" i="1" s="1"/>
  <c r="G16" i="1"/>
  <c r="G31" i="1" s="1"/>
  <c r="G33" i="1" s="1"/>
  <c r="G53" i="1" s="1"/>
  <c r="F16" i="1"/>
  <c r="F17" i="1" s="1"/>
  <c r="E16" i="1"/>
  <c r="E31" i="1" s="1"/>
  <c r="E35" i="1" s="1"/>
  <c r="D16" i="1"/>
  <c r="D17" i="1" s="1"/>
  <c r="C16" i="1"/>
  <c r="C31" i="1" s="1"/>
  <c r="C33" i="1" s="1"/>
  <c r="C53" i="1" s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C28" i="1" l="1"/>
  <c r="C29" i="1" s="1"/>
  <c r="D28" i="1"/>
  <c r="H28" i="1"/>
  <c r="E28" i="1"/>
  <c r="E29" i="1" s="1"/>
  <c r="I19" i="1"/>
  <c r="H31" i="1"/>
  <c r="E33" i="1"/>
  <c r="E53" i="1" s="1"/>
  <c r="I43" i="1"/>
  <c r="I49" i="1"/>
  <c r="I48" i="1" s="1"/>
  <c r="J11" i="1"/>
  <c r="J22" i="1" s="1"/>
  <c r="K12" i="2"/>
  <c r="G13" i="2" s="1"/>
  <c r="I16" i="1"/>
  <c r="I31" i="1" s="1"/>
  <c r="I35" i="1"/>
  <c r="I38" i="1" s="1"/>
  <c r="I14" i="1"/>
  <c r="F31" i="1"/>
  <c r="F33" i="1" s="1"/>
  <c r="F53" i="1" s="1"/>
  <c r="D31" i="1"/>
  <c r="C35" i="1"/>
  <c r="C51" i="1" s="1"/>
  <c r="C55" i="1" s="1"/>
  <c r="G35" i="1"/>
  <c r="C17" i="1"/>
  <c r="E17" i="1"/>
  <c r="G17" i="1"/>
  <c r="D29" i="1"/>
  <c r="F29" i="1"/>
  <c r="H29" i="1"/>
  <c r="I51" i="1" l="1"/>
  <c r="J16" i="1"/>
  <c r="J19" i="1"/>
  <c r="J28" i="1" s="1"/>
  <c r="C13" i="2"/>
  <c r="K14" i="2" s="1"/>
  <c r="E5" i="1" s="1"/>
  <c r="H35" i="1"/>
  <c r="H39" i="1" s="1"/>
  <c r="H53" i="1"/>
  <c r="D33" i="1"/>
  <c r="D53" i="1" s="1"/>
  <c r="I42" i="1"/>
  <c r="J42" i="1"/>
  <c r="J35" i="1"/>
  <c r="J38" i="1" s="1"/>
  <c r="J45" i="1"/>
  <c r="K11" i="1"/>
  <c r="K22" i="1" s="1"/>
  <c r="F35" i="1"/>
  <c r="F39" i="1" s="1"/>
  <c r="D35" i="1"/>
  <c r="D51" i="1" s="1"/>
  <c r="D55" i="1" s="1"/>
  <c r="G39" i="1"/>
  <c r="G36" i="1"/>
  <c r="G51" i="1"/>
  <c r="G55" i="1" s="1"/>
  <c r="E39" i="1"/>
  <c r="E36" i="1"/>
  <c r="E51" i="1"/>
  <c r="E55" i="1" s="1"/>
  <c r="C39" i="1"/>
  <c r="C36" i="1"/>
  <c r="J48" i="1"/>
  <c r="J14" i="1"/>
  <c r="I55" i="1" l="1"/>
  <c r="J51" i="1"/>
  <c r="J55" i="1" s="1"/>
  <c r="J56" i="1" s="1"/>
  <c r="K45" i="1"/>
  <c r="K19" i="1"/>
  <c r="K28" i="1" s="1"/>
  <c r="H51" i="1"/>
  <c r="H55" i="1" s="1"/>
  <c r="F51" i="1"/>
  <c r="F55" i="1" s="1"/>
  <c r="D39" i="1"/>
  <c r="F36" i="1"/>
  <c r="K42" i="1"/>
  <c r="D36" i="1"/>
  <c r="L11" i="1"/>
  <c r="L22" i="1" s="1"/>
  <c r="K16" i="1"/>
  <c r="K14" i="1" s="1"/>
  <c r="I56" i="1"/>
  <c r="J31" i="1"/>
  <c r="K35" i="1"/>
  <c r="K38" i="1" s="1"/>
  <c r="I33" i="1"/>
  <c r="I53" i="1" s="1"/>
  <c r="H36" i="1"/>
  <c r="K48" i="1"/>
  <c r="K51" i="1" l="1"/>
  <c r="K55" i="1" s="1"/>
  <c r="K56" i="1" s="1"/>
  <c r="L16" i="1"/>
  <c r="L14" i="1" s="1"/>
  <c r="L19" i="1"/>
  <c r="L28" i="1" s="1"/>
  <c r="L45" i="1"/>
  <c r="M11" i="1"/>
  <c r="M22" i="1" s="1"/>
  <c r="L35" i="1"/>
  <c r="L38" i="1" s="1"/>
  <c r="L48" i="1"/>
  <c r="J33" i="1"/>
  <c r="J53" i="1" s="1"/>
  <c r="L51" i="1" l="1"/>
  <c r="M16" i="1"/>
  <c r="M14" i="1" s="1"/>
  <c r="M48" i="1"/>
  <c r="M19" i="1"/>
  <c r="M28" i="1" s="1"/>
  <c r="M45" i="1"/>
  <c r="M35" i="1"/>
  <c r="M38" i="1" s="1"/>
  <c r="N11" i="1"/>
  <c r="N16" i="1" s="1"/>
  <c r="N14" i="1" s="1"/>
  <c r="L31" i="1"/>
  <c r="L33" i="1" s="1"/>
  <c r="L53" i="1" s="1"/>
  <c r="M43" i="1"/>
  <c r="L42" i="1"/>
  <c r="K31" i="1"/>
  <c r="K33" i="1" s="1"/>
  <c r="K53" i="1" s="1"/>
  <c r="N48" i="1"/>
  <c r="N45" i="1" l="1"/>
  <c r="N35" i="1"/>
  <c r="N38" i="1" s="1"/>
  <c r="O11" i="1"/>
  <c r="O22" i="1" s="1"/>
  <c r="M51" i="1"/>
  <c r="N19" i="1"/>
  <c r="N31" i="1" s="1"/>
  <c r="N22" i="1"/>
  <c r="O48" i="1"/>
  <c r="L55" i="1"/>
  <c r="L56" i="1" s="1"/>
  <c r="N43" i="1"/>
  <c r="N42" i="1" s="1"/>
  <c r="M42" i="1"/>
  <c r="P11" i="1"/>
  <c r="M31" i="1"/>
  <c r="M33" i="1" s="1"/>
  <c r="M53" i="1" s="1"/>
  <c r="O45" i="1"/>
  <c r="O35" i="1" l="1"/>
  <c r="O16" i="1"/>
  <c r="O19" i="1"/>
  <c r="O28" i="1" s="1"/>
  <c r="N28" i="1"/>
  <c r="N51" i="1"/>
  <c r="N55" i="1" s="1"/>
  <c r="N56" i="1" s="1"/>
  <c r="P19" i="1"/>
  <c r="P22" i="1"/>
  <c r="M55" i="1"/>
  <c r="M56" i="1" s="1"/>
  <c r="O43" i="1"/>
  <c r="Q11" i="1"/>
  <c r="P16" i="1"/>
  <c r="N33" i="1"/>
  <c r="N53" i="1" s="1"/>
  <c r="P45" i="1"/>
  <c r="P35" i="1"/>
  <c r="P48" i="1"/>
  <c r="O14" i="1"/>
  <c r="O38" i="1"/>
  <c r="P28" i="1" l="1"/>
  <c r="O51" i="1"/>
  <c r="Q19" i="1"/>
  <c r="Q22" i="1"/>
  <c r="P43" i="1"/>
  <c r="O42" i="1"/>
  <c r="R11" i="1"/>
  <c r="R22" i="1" s="1"/>
  <c r="Q16" i="1"/>
  <c r="O31" i="1"/>
  <c r="O33" i="1" s="1"/>
  <c r="O53" i="1" s="1"/>
  <c r="Q35" i="1"/>
  <c r="Q45" i="1"/>
  <c r="Q48" i="1"/>
  <c r="P14" i="1"/>
  <c r="P38" i="1"/>
  <c r="Q28" i="1" l="1"/>
  <c r="P51" i="1"/>
  <c r="R16" i="1"/>
  <c r="R19" i="1"/>
  <c r="R28" i="1" s="1"/>
  <c r="P31" i="1"/>
  <c r="O55" i="1"/>
  <c r="O56" i="1" s="1"/>
  <c r="Q43" i="1"/>
  <c r="P42" i="1"/>
  <c r="P33" i="1"/>
  <c r="P53" i="1" s="1"/>
  <c r="R45" i="1"/>
  <c r="R14" i="1"/>
  <c r="R35" i="1"/>
  <c r="R48" i="1"/>
  <c r="Q14" i="1"/>
  <c r="Q38" i="1"/>
  <c r="Q51" i="1" l="1"/>
  <c r="P55" i="1"/>
  <c r="P56" i="1" s="1"/>
  <c r="R43" i="1"/>
  <c r="R42" i="1" s="1"/>
  <c r="Q42" i="1"/>
  <c r="Q31" i="1"/>
  <c r="Q33" i="1" s="1"/>
  <c r="Q53" i="1" s="1"/>
  <c r="R31" i="1"/>
  <c r="R38" i="1"/>
  <c r="R51" i="1" l="1"/>
  <c r="R55" i="1" s="1"/>
  <c r="C58" i="1" s="1"/>
  <c r="C59" i="1" s="1"/>
  <c r="Q55" i="1"/>
  <c r="Q56" i="1" s="1"/>
  <c r="R33" i="1"/>
  <c r="R53" i="1" s="1"/>
  <c r="S53" i="1" l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F58" i="1" s="1"/>
  <c r="H61" i="1" s="1"/>
  <c r="H63" i="1" s="1"/>
  <c r="H66" i="1" s="1"/>
  <c r="R56" i="1"/>
  <c r="G61" i="1" s="1"/>
  <c r="G63" i="1" s="1"/>
  <c r="G66" i="1" l="1"/>
  <c r="E66" i="1" s="1"/>
  <c r="J6" i="1" l="1"/>
  <c r="N5" i="1" s="1"/>
  <c r="L62" i="1"/>
</calcChain>
</file>

<file path=xl/sharedStrings.xml><?xml version="1.0" encoding="utf-8"?>
<sst xmlns="http://schemas.openxmlformats.org/spreadsheetml/2006/main" count="68" uniqueCount="56">
  <si>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</si>
  <si>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</si>
  <si>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</si>
  <si>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</si>
  <si>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</si>
  <si>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</si>
  <si>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</si>
  <si>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</si>
  <si>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</si>
  <si>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</si>
  <si>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</si>
  <si>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</si>
  <si>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</si>
  <si>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</si>
  <si>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</si>
  <si>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</si>
  <si>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</si>
  <si>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</si>
  <si>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</si>
  <si>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</si>
  <si>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</si>
  <si>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</si>
  <si>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</si>
  <si>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</si>
  <si>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</si>
  <si>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</si>
  <si>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</si>
  <si>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</si>
  <si>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</si>
  <si>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</si>
  <si>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</si>
  <si>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</si>
  <si>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</si>
  <si>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</si>
  <si>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</si>
  <si>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</si>
  <si>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</si>
  <si>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</si>
  <si>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</si>
  <si>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</si>
  <si>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</si>
  <si>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Interest 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</si>
  <si>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</si>
  <si>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</si>
  <si>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</si>
  <si>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</si>
  <si>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</si>
  <si>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</si>
  <si>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</si>
  <si>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</si>
  <si>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</si>
  <si>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</si>
  <si>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Other2</t>
  </si>
  <si>
    <t>NCI exp</t>
  </si>
  <si>
    <t>Mohawk Industries DCF</t>
  </si>
  <si>
    <t xml:space="preserve">                                             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</si>
</sst>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6" fillId="4" borderId="3" xfId="0" applyFont="1" applyFill="1" applyBorder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" fontId="3" fillId="2" borderId="3" xfId="0" applyNumberFormat="1" applyFont="1" applyFill="1" applyBorder="1"/>
    <xf numFmtId="1" fontId="3" fillId="2" borderId="0" xfId="0" applyNumberFormat="1" applyFont="1" applyFill="1"/>
    <xf numFmtId="10" fontId="8" fillId="2" borderId="3" xfId="0" applyNumberFormat="1" applyFont="1" applyFill="1" applyBorder="1"/>
    <xf numFmtId="10" fontId="8" fillId="2" borderId="0" xfId="0" applyNumberFormat="1" applyFont="1" applyFill="1"/>
    <xf numFmtId="1" fontId="3" fillId="0" borderId="4" xfId="0" applyNumberFormat="1" applyFont="1" applyBorder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64" fontId="3" fillId="2" borderId="0" xfId="1" applyNumberFormat="1" applyFont="1" applyFill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0" fontId="6" fillId="3" borderId="3" xfId="0" applyFont="1" applyFill="1" applyBorder="1"/>
    <xf numFmtId="3" fontId="3" fillId="0" borderId="0" xfId="0" applyNumberFormat="1" applyFont="1"/>
    <xf numFmtId="0" fontId="3" fillId="4" borderId="0" xfId="0" applyFont="1" applyFill="1"/>
    <xf numFmtId="0" fontId="3" fillId="2" borderId="9" xfId="0" applyFont="1" applyFill="1" applyBorder="1"/>
    <xf numFmtId="0" fontId="3" fillId="2" borderId="10" xfId="0" applyFont="1" applyFill="1" applyBorder="1"/>
    <xf numFmtId="1" fontId="0" fillId="2" borderId="0" xfId="0" applyNumberFormat="1" applyFill="1"/>
    <xf numFmtId="1" fontId="0" fillId="2" borderId="6" xfId="0" applyNumberFormat="1" applyFill="1" applyBorder="1"/>
    <xf numFmtId="0" fontId="3" fillId="2" borderId="11" xfId="0" applyFont="1" applyFill="1" applyBorder="1"/>
    <xf numFmtId="0" fontId="0" fillId="2" borderId="6" xfId="0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8" xfId="0" applyFill="1" applyBorder="1"/>
    <xf numFmtId="0" fontId="3" fillId="2" borderId="12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1" fontId="3" fillId="2" borderId="5" xfId="0" applyNumberFormat="1" applyFont="1" applyFill="1" applyBorder="1"/>
    <xf numFmtId="3" fontId="0" fillId="0" borderId="0" xfId="0" applyNumberFormat="1"/>
    <xf numFmtId="164" fontId="8" fillId="2" borderId="0" xfId="1" applyNumberFormat="1" applyFont="1" applyFill="1" applyBorder="1"/>
    <xf numFmtId="3" fontId="3" fillId="2" borderId="4" xfId="0" applyNumberFormat="1" applyFont="1" applyFill="1" applyBorder="1"/>
    <xf numFmtId="164" fontId="8" fillId="2" borderId="4" xfId="1" applyNumberFormat="1" applyFont="1" applyFill="1" applyBorder="1"/>
    <xf numFmtId="164" fontId="7" fillId="2" borderId="0" xfId="1" applyNumberFormat="1" applyFont="1" applyFill="1" applyBorder="1"/>
    <xf numFmtId="3" fontId="0" fillId="2" borderId="1" xfId="0" applyNumberFormat="1" applyFill="1" applyBorder="1"/>
    <xf numFmtId="0" fontId="10" fillId="2" borderId="0" xfId="0" applyFont="1" applyFill="1"/>
    <xf numFmtId="0" fontId="0" fillId="2" borderId="1" xfId="0" applyFill="1" applyBorder="1"/>
    <xf numFmtId="0" fontId="0" fillId="2" borderId="7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3" xfId="0" applyFont="1" applyFill="1" applyBorder="1"/>
    <xf numFmtId="0" fontId="0" fillId="2" borderId="14" xfId="0" applyFill="1" applyBorder="1"/>
    <xf numFmtId="10" fontId="2" fillId="2" borderId="15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1" fontId="3" fillId="2" borderId="0" xfId="0" applyNumberFormat="1" applyFont="1" applyFill="1" applyBorder="1"/>
    <xf numFmtId="1" fontId="3" fillId="0" borderId="0" xfId="0" applyNumberFormat="1" applyFont="1" applyBorder="1"/>
    <xf numFmtId="164" fontId="9" fillId="2" borderId="0" xfId="1" applyNumberFormat="1" applyFont="1" applyFill="1" applyBorder="1"/>
    <xf numFmtId="3" fontId="3" fillId="2" borderId="0" xfId="0" applyNumberFormat="1" applyFont="1" applyFill="1" applyBorder="1"/>
    <xf numFmtId="0" fontId="0" fillId="2" borderId="0" xfId="0" applyFill="1" applyBorder="1"/>
    <xf numFmtId="0" fontId="3" fillId="2" borderId="0" xfId="0" applyFont="1" applyFill="1" applyBorder="1"/>
    <xf numFmtId="10" fontId="8" fillId="2" borderId="0" xfId="0" applyNumberFormat="1" applyFont="1" applyFill="1" applyBorder="1"/>
    <xf numFmtId="164" fontId="3" fillId="2" borderId="0" xfId="0" applyNumberFormat="1" applyFont="1" applyFill="1" applyBorder="1"/>
    <xf numFmtId="164" fontId="3" fillId="2" borderId="4" xfId="0" applyNumberFormat="1" applyFont="1" applyFill="1" applyBorder="1"/>
    <xf numFmtId="3" fontId="3" fillId="0" borderId="4" xfId="0" applyNumberFormat="1" applyFont="1" applyBorder="1"/>
    <xf numFmtId="10" fontId="8" fillId="2" borderId="4" xfId="0" applyNumberFormat="1" applyFont="1" applyFill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/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2" fontId="11" fillId="10" borderId="0" xfId="0" applyNumberFormat="1" applyFont="1" applyFill="1"/>
    <xf numFmtId="2" fontId="3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7"/>
  <sheetViews>
    <sheetView tabSelected="1" topLeftCell="B52" workbookViewId="0">
      <selection activeCell="D65" sqref="D65"/>
    </sheetView>
  </sheetViews>
  <sheetFormatPr defaultRowHeight="15" x14ac:dyDescent="0.25"/>
  <cols>
    <col min="1" max="1" width="9.140625" style="2"/>
    <col min="2" max="2" width="17" style="2" customWidth="1"/>
    <col min="3" max="8" width="11.28515625" style="2" customWidth="1"/>
    <col min="9" max="16384" width="9.140625" style="2"/>
  </cols>
  <sheetData>
    <row r="1" spans="1:18" s="7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71" customFormat="1" ht="23.25" x14ac:dyDescent="0.35">
      <c r="A2" s="3"/>
      <c r="B2" s="4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9"/>
    </row>
    <row r="3" spans="1:18" s="7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7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71" customFormat="1" x14ac:dyDescent="0.25">
      <c r="A5" s="1"/>
      <c r="B5" s="1"/>
      <c r="C5" s="7" t="s">
        <v>1</v>
      </c>
      <c r="D5" s="1"/>
      <c r="E5" s="8">
        <f>WACC!K14</f>
        <v>0.10016236335621342</v>
      </c>
      <c r="F5" s="2"/>
      <c r="G5" s="1"/>
      <c r="H5" s="1" t="s">
        <v>2</v>
      </c>
      <c r="I5" s="1"/>
      <c r="J5" s="7">
        <v>102.39</v>
      </c>
      <c r="K5" s="1"/>
      <c r="L5" s="1" t="s">
        <v>3</v>
      </c>
      <c r="M5" s="1"/>
      <c r="N5" s="7">
        <f>(J6/J5)-1</f>
        <v>0.13824536715835167</v>
      </c>
      <c r="O5" s="1"/>
      <c r="P5" s="1"/>
      <c r="Q5" s="1"/>
      <c r="R5" s="2"/>
    </row>
    <row r="6" spans="1:18" s="71" customFormat="1" x14ac:dyDescent="0.25">
      <c r="A6" s="1"/>
      <c r="B6" s="1"/>
      <c r="C6" s="7" t="s">
        <v>4</v>
      </c>
      <c r="D6" s="1"/>
      <c r="E6" s="8">
        <v>-0.01</v>
      </c>
      <c r="F6" s="2"/>
      <c r="G6" s="1"/>
      <c r="H6" s="1" t="s">
        <v>5</v>
      </c>
      <c r="I6" s="1"/>
      <c r="J6" s="7">
        <f>E66</f>
        <v>116.54494314334363</v>
      </c>
      <c r="K6" s="1"/>
      <c r="L6" s="1"/>
      <c r="M6" s="1"/>
      <c r="N6" s="1"/>
      <c r="O6" s="1"/>
      <c r="P6" s="1"/>
      <c r="Q6" s="1"/>
      <c r="R6" s="2"/>
    </row>
    <row r="7" spans="1:18" s="71" customFormat="1" x14ac:dyDescent="0.25">
      <c r="A7" s="1"/>
      <c r="B7" s="1"/>
      <c r="C7" s="1"/>
      <c r="D7" s="1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s="71" customFormat="1" x14ac:dyDescent="0.25">
      <c r="A8" s="1"/>
      <c r="B8" s="1"/>
      <c r="C8" s="1"/>
      <c r="D8" s="1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1:18" s="7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71" customFormat="1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12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</row>
    <row r="11" spans="1:18" s="71" customFormat="1" x14ac:dyDescent="0.25">
      <c r="A11" s="1"/>
      <c r="B11" s="1" t="s">
        <v>7</v>
      </c>
      <c r="C11" s="13">
        <v>9491290</v>
      </c>
      <c r="D11" s="13">
        <v>9983634</v>
      </c>
      <c r="E11" s="13">
        <v>9970672</v>
      </c>
      <c r="F11" s="13">
        <v>9552197</v>
      </c>
      <c r="G11" s="13">
        <v>11200613</v>
      </c>
      <c r="H11" s="13">
        <v>11737065</v>
      </c>
      <c r="I11" s="14">
        <v>11190000</v>
      </c>
      <c r="J11" s="1">
        <f>I11*(1+J12)</f>
        <v>11380229.999999998</v>
      </c>
      <c r="K11" s="1">
        <f t="shared" ref="K11:R11" si="1">J11*(1+K12)</f>
        <v>11778538.049999997</v>
      </c>
      <c r="L11" s="1">
        <f t="shared" si="1"/>
        <v>12131894.191499997</v>
      </c>
      <c r="M11" s="1">
        <f t="shared" si="1"/>
        <v>12495851.017244997</v>
      </c>
      <c r="N11" s="1">
        <f t="shared" si="1"/>
        <v>12870726.547762347</v>
      </c>
      <c r="O11" s="1">
        <f t="shared" si="1"/>
        <v>13192494.711456405</v>
      </c>
      <c r="P11" s="1">
        <f t="shared" si="1"/>
        <v>13522307.079242814</v>
      </c>
      <c r="Q11" s="1">
        <f t="shared" si="1"/>
        <v>13860364.756223883</v>
      </c>
      <c r="R11" s="1">
        <f t="shared" si="1"/>
        <v>14206873.87512948</v>
      </c>
    </row>
    <row r="12" spans="1:18" s="71" customFormat="1" x14ac:dyDescent="0.25">
      <c r="A12" s="1"/>
      <c r="B12" s="15" t="s">
        <v>8</v>
      </c>
      <c r="C12" s="16"/>
      <c r="D12" s="16">
        <f t="shared" ref="D12:I12" si="2">(D11/C11)-1</f>
        <v>5.1873243784564593E-2</v>
      </c>
      <c r="E12" s="16">
        <f t="shared" si="2"/>
        <v>-1.2983248384306201E-3</v>
      </c>
      <c r="F12" s="16">
        <f t="shared" si="2"/>
        <v>-4.1970591350312225E-2</v>
      </c>
      <c r="G12" s="16">
        <f t="shared" si="2"/>
        <v>0.17256930526035008</v>
      </c>
      <c r="H12" s="16">
        <f t="shared" si="2"/>
        <v>4.7894878610661662E-2</v>
      </c>
      <c r="I12" s="27">
        <f t="shared" si="2"/>
        <v>-4.6610034109890286E-2</v>
      </c>
      <c r="J12" s="53">
        <v>1.7000000000000001E-2</v>
      </c>
      <c r="K12" s="53">
        <v>3.5000000000000003E-2</v>
      </c>
      <c r="L12" s="53">
        <v>0.03</v>
      </c>
      <c r="M12" s="53">
        <v>0.03</v>
      </c>
      <c r="N12" s="53">
        <v>0.03</v>
      </c>
      <c r="O12" s="53">
        <v>2.5000000000000001E-2</v>
      </c>
      <c r="P12" s="53">
        <v>2.5000000000000001E-2</v>
      </c>
      <c r="Q12" s="53">
        <v>2.5000000000000001E-2</v>
      </c>
      <c r="R12" s="53">
        <v>2.5000000000000001E-2</v>
      </c>
    </row>
    <row r="13" spans="1:18" s="71" customFormat="1" x14ac:dyDescent="0.25">
      <c r="A13" s="1"/>
      <c r="B13" s="6"/>
      <c r="C13" s="1"/>
      <c r="D13" s="1"/>
      <c r="E13" s="1"/>
      <c r="F13" s="1"/>
      <c r="G13" s="1"/>
      <c r="H13" s="1"/>
      <c r="I13" s="17"/>
      <c r="J13" s="1"/>
      <c r="K13" s="1"/>
      <c r="L13" s="1"/>
      <c r="M13" s="1"/>
      <c r="N13" s="1"/>
      <c r="O13" s="1"/>
      <c r="P13" s="1"/>
      <c r="Q13" s="1"/>
      <c r="R13" s="2"/>
    </row>
    <row r="14" spans="1:18" s="71" customFormat="1" x14ac:dyDescent="0.25">
      <c r="A14" s="1"/>
      <c r="B14" s="1" t="s">
        <v>9</v>
      </c>
      <c r="C14" s="13">
        <v>6494876</v>
      </c>
      <c r="D14" s="13">
        <v>7145564</v>
      </c>
      <c r="E14" s="13">
        <v>7294629</v>
      </c>
      <c r="F14" s="13">
        <v>7121507</v>
      </c>
      <c r="G14" s="13">
        <v>7931879</v>
      </c>
      <c r="H14" s="13">
        <v>8793639</v>
      </c>
      <c r="I14" s="51">
        <f t="shared" ref="I14:R14" si="3">I11-I16</f>
        <v>8347740</v>
      </c>
      <c r="J14" s="19">
        <f t="shared" si="3"/>
        <v>8307567.8999999985</v>
      </c>
      <c r="K14" s="19">
        <f t="shared" si="3"/>
        <v>8638379.8058699984</v>
      </c>
      <c r="L14" s="19">
        <f t="shared" si="3"/>
        <v>9038261.1726674978</v>
      </c>
      <c r="M14" s="19">
        <f t="shared" si="3"/>
        <v>9309409.0078475215</v>
      </c>
      <c r="N14" s="19">
        <f t="shared" si="3"/>
        <v>9588691.2780829482</v>
      </c>
      <c r="O14" s="19">
        <f t="shared" si="3"/>
        <v>9828408.560035022</v>
      </c>
      <c r="P14" s="19">
        <f t="shared" si="3"/>
        <v>10074118.774035897</v>
      </c>
      <c r="Q14" s="19">
        <f t="shared" si="3"/>
        <v>10325971.743386794</v>
      </c>
      <c r="R14" s="19">
        <f t="shared" si="3"/>
        <v>10584121.036971463</v>
      </c>
    </row>
    <row r="15" spans="1:18" s="71" customFormat="1" x14ac:dyDescent="0.25">
      <c r="A15" s="1"/>
      <c r="B15" s="20"/>
      <c r="C15" s="20"/>
      <c r="D15" s="20"/>
      <c r="E15" s="20"/>
      <c r="F15" s="20"/>
      <c r="G15" s="20"/>
      <c r="H15" s="20"/>
      <c r="I15" s="17"/>
      <c r="J15" s="1"/>
      <c r="K15" s="1"/>
      <c r="L15" s="1"/>
      <c r="M15" s="1"/>
      <c r="N15" s="1"/>
      <c r="O15" s="1"/>
      <c r="P15" s="1"/>
      <c r="Q15" s="1"/>
      <c r="R15" s="2"/>
    </row>
    <row r="16" spans="1:18" s="71" customFormat="1" x14ac:dyDescent="0.25">
      <c r="A16" s="1"/>
      <c r="B16" s="1" t="s">
        <v>10</v>
      </c>
      <c r="C16" s="13">
        <f t="shared" ref="C16:H16" si="4">C11-C14</f>
        <v>2996414</v>
      </c>
      <c r="D16" s="13">
        <f t="shared" si="4"/>
        <v>2838070</v>
      </c>
      <c r="E16" s="13">
        <f t="shared" si="4"/>
        <v>2676043</v>
      </c>
      <c r="F16" s="13">
        <f t="shared" si="4"/>
        <v>2430690</v>
      </c>
      <c r="G16" s="13">
        <f t="shared" si="4"/>
        <v>3268734</v>
      </c>
      <c r="H16" s="13">
        <f t="shared" si="4"/>
        <v>2943426</v>
      </c>
      <c r="I16" s="28">
        <f>I11*I17</f>
        <v>2842260</v>
      </c>
      <c r="J16" s="22">
        <f t="shared" ref="J16:R16" si="5">J11*J17</f>
        <v>3072662.0999999996</v>
      </c>
      <c r="K16" s="22">
        <f>K11*K17</f>
        <v>3140158.2441299991</v>
      </c>
      <c r="L16" s="22">
        <f t="shared" si="5"/>
        <v>3093633.0188324992</v>
      </c>
      <c r="M16" s="22">
        <f t="shared" si="5"/>
        <v>3186442.0093974741</v>
      </c>
      <c r="N16" s="22">
        <f t="shared" si="5"/>
        <v>3282035.2696793987</v>
      </c>
      <c r="O16" s="22">
        <f t="shared" si="5"/>
        <v>3364086.1514213835</v>
      </c>
      <c r="P16" s="22">
        <f t="shared" si="5"/>
        <v>3448188.3052069177</v>
      </c>
      <c r="Q16" s="22">
        <f t="shared" si="5"/>
        <v>3534393.0128370905</v>
      </c>
      <c r="R16" s="22">
        <f t="shared" si="5"/>
        <v>3622752.8381580175</v>
      </c>
    </row>
    <row r="17" spans="1:18" s="71" customFormat="1" x14ac:dyDescent="0.25">
      <c r="A17" s="1"/>
      <c r="B17" s="15" t="s">
        <v>11</v>
      </c>
      <c r="C17" s="16">
        <f t="shared" ref="C17:H17" si="6">C16/C11</f>
        <v>0.31570144838056785</v>
      </c>
      <c r="D17" s="16">
        <f t="shared" si="6"/>
        <v>0.28427223994789874</v>
      </c>
      <c r="E17" s="16">
        <f t="shared" si="6"/>
        <v>0.2683914384105705</v>
      </c>
      <c r="F17" s="16">
        <f t="shared" si="6"/>
        <v>0.25446397305248208</v>
      </c>
      <c r="G17" s="16">
        <f t="shared" si="6"/>
        <v>0.29183527722991592</v>
      </c>
      <c r="H17" s="16">
        <f t="shared" si="6"/>
        <v>0.25078041230921017</v>
      </c>
      <c r="I17" s="23">
        <v>0.254</v>
      </c>
      <c r="J17" s="24">
        <v>0.27</v>
      </c>
      <c r="K17" s="24">
        <v>0.2666</v>
      </c>
      <c r="L17" s="24">
        <v>0.255</v>
      </c>
      <c r="M17" s="24">
        <v>0.255</v>
      </c>
      <c r="N17" s="24">
        <f t="shared" ref="N17:R17" si="7">M17</f>
        <v>0.255</v>
      </c>
      <c r="O17" s="24">
        <f t="shared" si="7"/>
        <v>0.255</v>
      </c>
      <c r="P17" s="24">
        <f t="shared" si="7"/>
        <v>0.255</v>
      </c>
      <c r="Q17" s="24">
        <f t="shared" si="7"/>
        <v>0.255</v>
      </c>
      <c r="R17" s="24">
        <f t="shared" si="7"/>
        <v>0.255</v>
      </c>
    </row>
    <row r="18" spans="1:18" s="71" customFormat="1" x14ac:dyDescent="0.25">
      <c r="A18" s="1"/>
      <c r="B18" s="1"/>
      <c r="C18" s="13"/>
      <c r="D18" s="13"/>
      <c r="E18" s="13"/>
      <c r="F18" s="13"/>
      <c r="G18" s="13"/>
      <c r="H18" s="13"/>
      <c r="I18" s="28"/>
      <c r="J18" s="22"/>
      <c r="K18" s="22"/>
      <c r="L18" s="22"/>
      <c r="M18" s="22"/>
      <c r="N18" s="22"/>
      <c r="O18" s="22"/>
      <c r="P18" s="22"/>
      <c r="Q18" s="22"/>
      <c r="R18" s="22"/>
    </row>
    <row r="19" spans="1:18" s="71" customFormat="1" x14ac:dyDescent="0.25">
      <c r="A19" s="1"/>
      <c r="B19" s="1" t="s">
        <v>40</v>
      </c>
      <c r="C19" s="13">
        <v>1642241</v>
      </c>
      <c r="D19" s="13">
        <v>1742744</v>
      </c>
      <c r="E19" s="13">
        <v>1848819</v>
      </c>
      <c r="F19" s="13">
        <v>1794688</v>
      </c>
      <c r="G19" s="13">
        <v>1933723</v>
      </c>
      <c r="H19" s="13">
        <v>2003438</v>
      </c>
      <c r="I19" s="28">
        <f>I20*I11</f>
        <v>1913490.0000000002</v>
      </c>
      <c r="J19" s="73">
        <f>J20*J11</f>
        <v>1946019.3299999998</v>
      </c>
      <c r="K19" s="73">
        <f>K20*K11</f>
        <v>2014130.0065499996</v>
      </c>
      <c r="L19" s="73">
        <f>L20*L11</f>
        <v>2074553.9067464997</v>
      </c>
      <c r="M19" s="73">
        <f>M20*M11</f>
        <v>2136790.5239488943</v>
      </c>
      <c r="N19" s="73">
        <f>N20*N11</f>
        <v>2200894.2396673616</v>
      </c>
      <c r="O19" s="73">
        <f>O20*O11</f>
        <v>2255916.5956590455</v>
      </c>
      <c r="P19" s="73">
        <f>P20*P11</f>
        <v>2312314.5105505213</v>
      </c>
      <c r="Q19" s="73">
        <f>Q20*Q11</f>
        <v>2370122.3733142843</v>
      </c>
      <c r="R19" s="73">
        <f>R20*R11</f>
        <v>2429375.4326471412</v>
      </c>
    </row>
    <row r="20" spans="1:18" s="71" customFormat="1" x14ac:dyDescent="0.25">
      <c r="A20" s="1"/>
      <c r="B20" s="15" t="s">
        <v>17</v>
      </c>
      <c r="C20" s="29">
        <f>C19/C11</f>
        <v>0.17302611130836798</v>
      </c>
      <c r="D20" s="29">
        <f>D19/D11</f>
        <v>0.17456008503516857</v>
      </c>
      <c r="E20" s="29">
        <f>E19/E11</f>
        <v>0.18542571654147283</v>
      </c>
      <c r="F20" s="29">
        <f>F19/F11</f>
        <v>0.18788222227828844</v>
      </c>
      <c r="G20" s="29">
        <f>G19/G11</f>
        <v>0.17264439008829249</v>
      </c>
      <c r="H20" s="29">
        <f>H19/H11</f>
        <v>0.17069326956952185</v>
      </c>
      <c r="I20" s="55">
        <v>0.17100000000000001</v>
      </c>
      <c r="J20" s="53">
        <v>0.17100000000000001</v>
      </c>
      <c r="K20" s="53">
        <v>0.17100000000000001</v>
      </c>
      <c r="L20" s="53">
        <v>0.17100000000000001</v>
      </c>
      <c r="M20" s="53">
        <v>0.17100000000000001</v>
      </c>
      <c r="N20" s="53">
        <v>0.17100000000000001</v>
      </c>
      <c r="O20" s="53">
        <v>0.17100000000000001</v>
      </c>
      <c r="P20" s="53">
        <v>0.17100000000000001</v>
      </c>
      <c r="Q20" s="53">
        <v>0.17100000000000001</v>
      </c>
      <c r="R20" s="53">
        <v>0.17100000000000001</v>
      </c>
    </row>
    <row r="21" spans="1:18" s="71" customFormat="1" x14ac:dyDescent="0.25">
      <c r="A21" s="1"/>
      <c r="B21" s="15"/>
      <c r="C21" s="29"/>
      <c r="D21" s="29"/>
      <c r="E21" s="29"/>
      <c r="F21" s="29"/>
      <c r="G21" s="29"/>
      <c r="H21" s="29"/>
      <c r="I21" s="55"/>
      <c r="J21" s="53"/>
      <c r="K21" s="53"/>
      <c r="L21" s="53"/>
      <c r="M21" s="53"/>
      <c r="N21" s="53"/>
      <c r="O21" s="53"/>
      <c r="P21" s="53"/>
      <c r="Q21" s="53"/>
      <c r="R21" s="53"/>
    </row>
    <row r="22" spans="1:18" s="71" customFormat="1" x14ac:dyDescent="0.25">
      <c r="A22" s="1"/>
      <c r="B22" s="1" t="s">
        <v>41</v>
      </c>
      <c r="C22" s="13">
        <v>31111</v>
      </c>
      <c r="D22" s="13">
        <v>38827</v>
      </c>
      <c r="E22" s="13">
        <v>41272</v>
      </c>
      <c r="F22" s="13">
        <v>52379</v>
      </c>
      <c r="G22" s="13">
        <v>57252</v>
      </c>
      <c r="H22" s="13">
        <v>51938</v>
      </c>
      <c r="I22" s="28">
        <f>I23*I11</f>
        <v>44760</v>
      </c>
      <c r="J22" s="73">
        <f>J23*J11</f>
        <v>45520.919999999991</v>
      </c>
      <c r="K22" s="73">
        <f>K23*K11</f>
        <v>47114.15219999999</v>
      </c>
      <c r="L22" s="73">
        <f>L23*L11</f>
        <v>48527.576765999991</v>
      </c>
      <c r="M22" s="73">
        <f>M23*M11</f>
        <v>49983.404068979988</v>
      </c>
      <c r="N22" s="73">
        <f>N23*N11</f>
        <v>51482.906191049391</v>
      </c>
      <c r="O22" s="73">
        <f>O23*O11</f>
        <v>52769.978845825623</v>
      </c>
      <c r="P22" s="73">
        <f>P23*P11</f>
        <v>54089.228316971261</v>
      </c>
      <c r="Q22" s="73">
        <f>Q23*Q11</f>
        <v>55441.459024895536</v>
      </c>
      <c r="R22" s="73">
        <f>R23*R11</f>
        <v>56827.495500517922</v>
      </c>
    </row>
    <row r="23" spans="1:18" s="71" customFormat="1" x14ac:dyDescent="0.25">
      <c r="A23" s="1"/>
      <c r="B23" s="15" t="s">
        <v>17</v>
      </c>
      <c r="C23" s="30">
        <f>C22/C11</f>
        <v>3.2778473737500383E-3</v>
      </c>
      <c r="D23" s="30">
        <f>D22/D11</f>
        <v>3.8890648435229097E-3</v>
      </c>
      <c r="E23" s="30">
        <f>E22/E11</f>
        <v>4.1393398559294702E-3</v>
      </c>
      <c r="F23" s="30">
        <f>F22/F11</f>
        <v>5.4834505611640969E-3</v>
      </c>
      <c r="G23" s="30">
        <f>G22/G11</f>
        <v>5.1115059506118103E-3</v>
      </c>
      <c r="H23" s="30">
        <f>H22/H11</f>
        <v>4.4251267246113064E-3</v>
      </c>
      <c r="I23" s="55">
        <v>4.0000000000000001E-3</v>
      </c>
      <c r="J23" s="53">
        <v>4.0000000000000001E-3</v>
      </c>
      <c r="K23" s="53">
        <v>4.0000000000000001E-3</v>
      </c>
      <c r="L23" s="53">
        <v>4.0000000000000001E-3</v>
      </c>
      <c r="M23" s="53">
        <v>4.0000000000000001E-3</v>
      </c>
      <c r="N23" s="53">
        <v>4.0000000000000001E-3</v>
      </c>
      <c r="O23" s="53">
        <v>4.0000000000000001E-3</v>
      </c>
      <c r="P23" s="53">
        <v>4.0000000000000001E-3</v>
      </c>
      <c r="Q23" s="53">
        <v>4.0000000000000001E-3</v>
      </c>
      <c r="R23" s="53">
        <v>4.0000000000000001E-3</v>
      </c>
    </row>
    <row r="24" spans="1:18" s="71" customFormat="1" x14ac:dyDescent="0.25">
      <c r="A24" s="1"/>
      <c r="B24" s="15"/>
      <c r="C24" s="30"/>
      <c r="D24" s="30"/>
      <c r="E24" s="30"/>
      <c r="F24" s="30"/>
      <c r="G24" s="30"/>
      <c r="H24" s="30"/>
      <c r="I24" s="55"/>
      <c r="J24" s="53"/>
      <c r="K24" s="53"/>
      <c r="L24" s="53"/>
      <c r="M24" s="53"/>
      <c r="N24" s="53"/>
      <c r="O24" s="53"/>
      <c r="P24" s="53"/>
      <c r="Q24" s="53"/>
      <c r="R24" s="53"/>
    </row>
    <row r="25" spans="1:18" s="71" customFormat="1" x14ac:dyDescent="0.25">
      <c r="A25" s="1"/>
      <c r="B25" s="1" t="s">
        <v>12</v>
      </c>
      <c r="C25" s="13">
        <v>5205</v>
      </c>
      <c r="D25" s="13">
        <v>7298</v>
      </c>
      <c r="E25" s="13">
        <v>36407</v>
      </c>
      <c r="F25" s="13">
        <v>0</v>
      </c>
      <c r="G25" s="13">
        <v>0</v>
      </c>
      <c r="H25" s="13">
        <f>695771</f>
        <v>695771</v>
      </c>
      <c r="I25" s="54">
        <v>4469.6000000000004</v>
      </c>
      <c r="J25" s="13">
        <v>2698.8</v>
      </c>
      <c r="K25" s="13">
        <v>927.99999999999795</v>
      </c>
      <c r="L25" s="13">
        <v>-842.80000000000098</v>
      </c>
      <c r="M25" s="13">
        <v>-2613.6</v>
      </c>
      <c r="N25" s="13">
        <v>0</v>
      </c>
      <c r="O25" s="13">
        <v>-4384.3999999999996</v>
      </c>
      <c r="P25" s="13">
        <v>-6155.2</v>
      </c>
      <c r="Q25" s="13">
        <v>-7926</v>
      </c>
      <c r="R25" s="13">
        <v>-9696.7999999999993</v>
      </c>
    </row>
    <row r="26" spans="1:18" s="71" customFormat="1" x14ac:dyDescent="0.25">
      <c r="A26" s="1"/>
      <c r="B26" s="1" t="s">
        <v>52</v>
      </c>
      <c r="C26" s="1"/>
      <c r="D26" s="1"/>
      <c r="E26" s="1"/>
      <c r="F26" s="1">
        <v>-751</v>
      </c>
      <c r="G26" s="1">
        <v>-12234</v>
      </c>
      <c r="H26" s="1">
        <v>8386</v>
      </c>
      <c r="I26" s="14"/>
      <c r="J26" s="1"/>
      <c r="K26" s="1"/>
      <c r="L26" s="1"/>
      <c r="M26" s="1"/>
      <c r="N26" s="1"/>
      <c r="O26" s="1"/>
      <c r="P26" s="1"/>
      <c r="Q26" s="1"/>
      <c r="R26" s="2"/>
    </row>
    <row r="27" spans="1:18" s="71" customFormat="1" x14ac:dyDescent="0.25">
      <c r="A27" s="1"/>
      <c r="B27" s="1"/>
      <c r="C27" s="1"/>
      <c r="D27" s="1"/>
      <c r="E27" s="1"/>
      <c r="F27" s="1"/>
      <c r="G27" s="1"/>
      <c r="H27" s="1"/>
      <c r="I27" s="14"/>
      <c r="J27" s="1"/>
      <c r="K27" s="1"/>
      <c r="L27" s="1"/>
      <c r="M27" s="1"/>
      <c r="N27" s="1"/>
      <c r="O27" s="1"/>
      <c r="P27" s="1"/>
      <c r="Q27" s="1"/>
      <c r="R27" s="2"/>
    </row>
    <row r="28" spans="1:18" s="71" customFormat="1" x14ac:dyDescent="0.25">
      <c r="A28" s="1"/>
      <c r="B28" s="1" t="s">
        <v>13</v>
      </c>
      <c r="C28" s="13">
        <f>SUM(C18:C26)</f>
        <v>1678557.1763039585</v>
      </c>
      <c r="D28" s="13">
        <f>SUM(D18:D26)</f>
        <v>1788869.1784491497</v>
      </c>
      <c r="E28" s="13">
        <f>SUM(E18:E26)</f>
        <v>1926498.1895650562</v>
      </c>
      <c r="F28" s="13">
        <f>SUM(F18:F26)</f>
        <v>1846316.1933656728</v>
      </c>
      <c r="G28" s="13">
        <f>SUM(G18:G26)</f>
        <v>1978741.177755896</v>
      </c>
      <c r="H28" s="13">
        <f>SUM(H18:H26)</f>
        <v>2759533.1751183961</v>
      </c>
      <c r="I28" s="25">
        <f>SUM(I18:I26)</f>
        <v>1962719.7750000004</v>
      </c>
      <c r="J28" s="74">
        <f>SUM(J18:J26)</f>
        <v>1994239.2249999999</v>
      </c>
      <c r="K28" s="74">
        <f>SUM(K18:K26)</f>
        <v>2062172.3337499995</v>
      </c>
      <c r="L28" s="74">
        <f>SUM(L18:L26)</f>
        <v>2122238.8585125003</v>
      </c>
      <c r="M28" s="74">
        <f>SUM(M18:M26)</f>
        <v>2184160.5030178744</v>
      </c>
      <c r="N28" s="74">
        <f>SUM(N18:N26)</f>
        <v>2252377.3208584115</v>
      </c>
      <c r="O28" s="74">
        <f>SUM(O18:O26)</f>
        <v>2304302.3495048713</v>
      </c>
      <c r="P28" s="74">
        <f>SUM(P18:P26)</f>
        <v>2360248.7138674925</v>
      </c>
      <c r="Q28" s="74">
        <f>SUM(Q18:Q26)</f>
        <v>2417638.00733918</v>
      </c>
      <c r="R28" s="74">
        <f>SUM(R18:R26)</f>
        <v>2476506.3031476596</v>
      </c>
    </row>
    <row r="29" spans="1:18" s="71" customFormat="1" x14ac:dyDescent="0.25">
      <c r="A29" s="1"/>
      <c r="B29" s="15" t="s">
        <v>17</v>
      </c>
      <c r="C29" s="16">
        <f>C28/C11</f>
        <v>0.17685237478824886</v>
      </c>
      <c r="D29" s="16">
        <f>D28/D11</f>
        <v>0.17918016410148346</v>
      </c>
      <c r="E29" s="16">
        <f>E28/E11</f>
        <v>0.19321648426154789</v>
      </c>
      <c r="F29" s="16">
        <f>F28/F11</f>
        <v>0.1932870724259218</v>
      </c>
      <c r="G29" s="16">
        <f>G28/G11</f>
        <v>0.1766636502623469</v>
      </c>
      <c r="H29" s="16">
        <f>H28/H11</f>
        <v>0.23511271132249809</v>
      </c>
      <c r="I29" s="26">
        <v>0.187</v>
      </c>
      <c r="J29" s="75">
        <v>0.187</v>
      </c>
      <c r="K29" s="75">
        <v>0.187</v>
      </c>
      <c r="L29" s="75">
        <v>0.187</v>
      </c>
      <c r="M29" s="75">
        <v>0.187</v>
      </c>
      <c r="N29" s="75">
        <v>0.187</v>
      </c>
      <c r="O29" s="75">
        <v>0.187</v>
      </c>
      <c r="P29" s="75">
        <v>0.187</v>
      </c>
      <c r="Q29" s="75">
        <v>0.187</v>
      </c>
      <c r="R29" s="75">
        <v>0.187</v>
      </c>
    </row>
    <row r="30" spans="1:18" s="71" customFormat="1" x14ac:dyDescent="0.25">
      <c r="A30" s="1"/>
      <c r="B30" s="1"/>
      <c r="C30" s="16"/>
      <c r="D30" s="16"/>
      <c r="E30" s="16"/>
      <c r="F30" s="16"/>
      <c r="G30" s="16"/>
      <c r="H30" s="16"/>
      <c r="I30" s="27"/>
      <c r="J30" s="56"/>
      <c r="K30" s="56"/>
      <c r="L30" s="56"/>
      <c r="M30" s="56"/>
      <c r="N30" s="56"/>
      <c r="O30" s="56"/>
      <c r="P30" s="56"/>
      <c r="Q30" s="56"/>
      <c r="R30" s="56"/>
    </row>
    <row r="31" spans="1:18" s="71" customFormat="1" x14ac:dyDescent="0.25">
      <c r="A31" s="1"/>
      <c r="B31" s="1" t="s">
        <v>14</v>
      </c>
      <c r="C31" s="13">
        <f>C16-C18-C19</f>
        <v>1354173</v>
      </c>
      <c r="D31" s="13">
        <f>D16-D18-D19</f>
        <v>1095326</v>
      </c>
      <c r="E31" s="13">
        <f>E16-E18-E19</f>
        <v>827224</v>
      </c>
      <c r="F31" s="13">
        <f>F16-F18-F19</f>
        <v>636002</v>
      </c>
      <c r="G31" s="13">
        <f>G16-G18-G19</f>
        <v>1335011</v>
      </c>
      <c r="H31" s="13">
        <f>H16-H18-H19</f>
        <v>939988</v>
      </c>
      <c r="I31" s="54">
        <f>I16-I18-I19</f>
        <v>928769.99999999977</v>
      </c>
      <c r="J31" s="76">
        <f>J16-J18-J19</f>
        <v>1126642.7699999998</v>
      </c>
      <c r="K31" s="76">
        <f>K16-K18-K19</f>
        <v>1126028.2375799995</v>
      </c>
      <c r="L31" s="76">
        <f>L16-L18-L19</f>
        <v>1019079.1120859995</v>
      </c>
      <c r="M31" s="76">
        <f>M16-M18-M19</f>
        <v>1049651.4854485798</v>
      </c>
      <c r="N31" s="76">
        <f>N16-N18-N19</f>
        <v>1081141.0300120371</v>
      </c>
      <c r="O31" s="76">
        <f>O16-O18-O19</f>
        <v>1108169.555762338</v>
      </c>
      <c r="P31" s="76">
        <f>P16-P18-P19</f>
        <v>1135873.7946563964</v>
      </c>
      <c r="Q31" s="76">
        <f>Q16-Q18-Q19</f>
        <v>1164270.6395228063</v>
      </c>
      <c r="R31" s="76">
        <f>R16-R18-R19</f>
        <v>1193377.4055108763</v>
      </c>
    </row>
    <row r="32" spans="1:18" s="71" customFormat="1" x14ac:dyDescent="0.25">
      <c r="A32" s="1"/>
      <c r="B32" s="1"/>
      <c r="C32" s="30"/>
      <c r="D32" s="30"/>
      <c r="E32" s="30"/>
      <c r="F32" s="30"/>
      <c r="G32" s="30"/>
      <c r="H32" s="30"/>
      <c r="I32" s="31"/>
      <c r="J32" s="77"/>
      <c r="K32" s="77"/>
      <c r="L32" s="77"/>
      <c r="M32" s="77"/>
      <c r="N32" s="77"/>
      <c r="O32" s="77"/>
      <c r="P32" s="77"/>
      <c r="Q32" s="77"/>
      <c r="R32" s="77"/>
    </row>
    <row r="33" spans="1:86" s="71" customFormat="1" x14ac:dyDescent="0.25">
      <c r="A33" s="1"/>
      <c r="B33" s="1" t="s">
        <v>15</v>
      </c>
      <c r="C33" s="13">
        <f t="shared" ref="C33:H33" si="8">C31-C22-C25-C26</f>
        <v>1317857</v>
      </c>
      <c r="D33" s="13">
        <f t="shared" si="8"/>
        <v>1049201</v>
      </c>
      <c r="E33" s="13">
        <f t="shared" si="8"/>
        <v>749545</v>
      </c>
      <c r="F33" s="13">
        <f t="shared" si="8"/>
        <v>584374</v>
      </c>
      <c r="G33" s="13">
        <f t="shared" si="8"/>
        <v>1289993</v>
      </c>
      <c r="H33" s="13">
        <f>H31-H22-H25-H26</f>
        <v>183893</v>
      </c>
      <c r="I33" s="54">
        <f t="shared" ref="I33" si="9">I31-I22-I25</f>
        <v>879540.39999999979</v>
      </c>
      <c r="J33" s="76">
        <f t="shared" ref="J33:R33" si="10">J31-J22-J25</f>
        <v>1078423.0499999998</v>
      </c>
      <c r="K33" s="76">
        <f>K31-K22-K25</f>
        <v>1077986.0853799996</v>
      </c>
      <c r="L33" s="76">
        <f>L31-L22-L25</f>
        <v>971394.33531999949</v>
      </c>
      <c r="M33" s="76">
        <f t="shared" si="10"/>
        <v>1002281.6813795997</v>
      </c>
      <c r="N33" s="76">
        <f t="shared" si="10"/>
        <v>1029658.1238209878</v>
      </c>
      <c r="O33" s="76">
        <f t="shared" si="10"/>
        <v>1059783.9769165122</v>
      </c>
      <c r="P33" s="76">
        <f t="shared" si="10"/>
        <v>1087939.766339425</v>
      </c>
      <c r="Q33" s="76">
        <f t="shared" si="10"/>
        <v>1116755.1804979108</v>
      </c>
      <c r="R33" s="76">
        <f t="shared" si="10"/>
        <v>1146246.7100103584</v>
      </c>
    </row>
    <row r="34" spans="1:86" s="71" customFormat="1" x14ac:dyDescent="0.25">
      <c r="A34" s="1"/>
      <c r="B34" s="1"/>
      <c r="C34" s="30"/>
      <c r="D34" s="30"/>
      <c r="E34" s="30"/>
      <c r="F34" s="30"/>
      <c r="G34" s="30"/>
      <c r="H34" s="30"/>
      <c r="I34" s="14"/>
      <c r="J34" s="78"/>
      <c r="K34" s="78"/>
      <c r="L34" s="78"/>
      <c r="M34" s="78"/>
      <c r="N34" s="78"/>
      <c r="O34" s="78"/>
      <c r="P34" s="78"/>
      <c r="Q34" s="78"/>
      <c r="R34" s="77"/>
    </row>
    <row r="35" spans="1:86" s="71" customFormat="1" x14ac:dyDescent="0.25">
      <c r="A35" s="1"/>
      <c r="B35" s="1" t="s">
        <v>16</v>
      </c>
      <c r="C35" s="13">
        <f t="shared" ref="C35:H35" si="11">C31</f>
        <v>1354173</v>
      </c>
      <c r="D35" s="13">
        <f t="shared" si="11"/>
        <v>1095326</v>
      </c>
      <c r="E35" s="13">
        <f t="shared" si="11"/>
        <v>827224</v>
      </c>
      <c r="F35" s="13">
        <f t="shared" si="11"/>
        <v>636002</v>
      </c>
      <c r="G35" s="13">
        <f t="shared" si="11"/>
        <v>1335011</v>
      </c>
      <c r="H35" s="13">
        <f t="shared" si="11"/>
        <v>939988</v>
      </c>
      <c r="I35" s="14">
        <f>I36*I11</f>
        <v>951150.00000000012</v>
      </c>
      <c r="J35" s="78">
        <f>J36*J11</f>
        <v>910418.39999999991</v>
      </c>
      <c r="K35" s="78">
        <f>K36*K11</f>
        <v>942283.04399999976</v>
      </c>
      <c r="L35" s="78">
        <f>L36*L11</f>
        <v>970551.53531999979</v>
      </c>
      <c r="M35" s="78">
        <f>M36*M11</f>
        <v>1062147.3364658249</v>
      </c>
      <c r="N35" s="78">
        <f>N36*N11</f>
        <v>1094011.7565597997</v>
      </c>
      <c r="O35" s="78">
        <f>O36*O11</f>
        <v>1187324.5240310763</v>
      </c>
      <c r="P35" s="78">
        <f>P36*P11</f>
        <v>1217007.6371318533</v>
      </c>
      <c r="Q35" s="78">
        <f>Q36*Q11</f>
        <v>1247432.8280601494</v>
      </c>
      <c r="R35" s="78">
        <f>R36*R11</f>
        <v>1278618.6487616531</v>
      </c>
    </row>
    <row r="36" spans="1:86" s="71" customFormat="1" x14ac:dyDescent="0.25">
      <c r="A36" s="1"/>
      <c r="B36" s="15" t="s">
        <v>17</v>
      </c>
      <c r="C36" s="16">
        <f>C35/C11</f>
        <v>0.14267533707219987</v>
      </c>
      <c r="D36" s="16">
        <f>D35/D11</f>
        <v>0.10971215491273018</v>
      </c>
      <c r="E36" s="16">
        <f>E35/E11</f>
        <v>8.2965721869097689E-2</v>
      </c>
      <c r="F36" s="16">
        <f>F35/F11</f>
        <v>6.6581750774193621E-2</v>
      </c>
      <c r="G36" s="16">
        <f>G35/G11</f>
        <v>0.1191908871416234</v>
      </c>
      <c r="H36" s="16">
        <f>H35/H11</f>
        <v>8.0087142739688325E-2</v>
      </c>
      <c r="I36" s="55">
        <v>8.5000000000000006E-2</v>
      </c>
      <c r="J36" s="53">
        <v>0.08</v>
      </c>
      <c r="K36" s="53">
        <v>0.08</v>
      </c>
      <c r="L36" s="53">
        <v>0.08</v>
      </c>
      <c r="M36" s="53">
        <v>8.5000000000000006E-2</v>
      </c>
      <c r="N36" s="53">
        <v>8.5000000000000006E-2</v>
      </c>
      <c r="O36" s="53">
        <v>0.09</v>
      </c>
      <c r="P36" s="53">
        <v>0.09</v>
      </c>
      <c r="Q36" s="53">
        <v>0.09</v>
      </c>
      <c r="R36" s="53">
        <v>0.09</v>
      </c>
    </row>
    <row r="37" spans="1:86" s="71" customFormat="1" x14ac:dyDescent="0.25">
      <c r="A37" s="1"/>
      <c r="B37" s="15"/>
      <c r="C37" s="1"/>
      <c r="D37" s="1"/>
      <c r="E37" s="2"/>
      <c r="F37" s="1"/>
      <c r="G37" s="1"/>
      <c r="H37" s="1"/>
      <c r="I37" s="14"/>
      <c r="J37" s="78"/>
      <c r="K37" s="78"/>
      <c r="L37" s="78"/>
      <c r="M37" s="78"/>
      <c r="N37" s="78"/>
      <c r="O37" s="77"/>
      <c r="P37" s="77"/>
      <c r="Q37" s="77"/>
      <c r="R37" s="77"/>
    </row>
    <row r="38" spans="1:86" s="71" customFormat="1" x14ac:dyDescent="0.25">
      <c r="A38" s="1"/>
      <c r="B38" s="1" t="s">
        <v>18</v>
      </c>
      <c r="C38" s="13">
        <v>343165</v>
      </c>
      <c r="D38" s="13">
        <v>184346</v>
      </c>
      <c r="E38" s="32">
        <v>4974</v>
      </c>
      <c r="F38" s="13">
        <v>68647</v>
      </c>
      <c r="G38" s="13">
        <v>256445</v>
      </c>
      <c r="H38" s="13">
        <v>158110</v>
      </c>
      <c r="I38" s="28">
        <f>I35*I39</f>
        <v>182620.80000000002</v>
      </c>
      <c r="J38" s="73">
        <f t="shared" ref="J38:R38" si="12">J35*J39</f>
        <v>182083.68</v>
      </c>
      <c r="K38" s="73">
        <f t="shared" si="12"/>
        <v>205983.07341839993</v>
      </c>
      <c r="L38" s="73">
        <f t="shared" si="12"/>
        <v>191198.65245803996</v>
      </c>
      <c r="M38" s="73">
        <f t="shared" si="12"/>
        <v>232185.4077514293</v>
      </c>
      <c r="N38" s="73">
        <f t="shared" si="12"/>
        <v>239150.9699839722</v>
      </c>
      <c r="O38" s="73">
        <f t="shared" si="12"/>
        <v>259549.14095319327</v>
      </c>
      <c r="P38" s="73">
        <f t="shared" si="12"/>
        <v>266037.86947702314</v>
      </c>
      <c r="Q38" s="73">
        <f t="shared" si="12"/>
        <v>272688.81621394865</v>
      </c>
      <c r="R38" s="73">
        <f t="shared" si="12"/>
        <v>279506.03661929735</v>
      </c>
    </row>
    <row r="39" spans="1:86" s="71" customFormat="1" x14ac:dyDescent="0.25">
      <c r="A39" s="1"/>
      <c r="B39" s="15" t="s">
        <v>19</v>
      </c>
      <c r="C39" s="29">
        <f t="shared" ref="C39:H39" si="13">C38/C35</f>
        <v>0.25341296865319274</v>
      </c>
      <c r="D39" s="29">
        <f t="shared" si="13"/>
        <v>0.16830240494610738</v>
      </c>
      <c r="E39" s="29">
        <f t="shared" si="13"/>
        <v>6.0128816378635045E-3</v>
      </c>
      <c r="F39" s="29">
        <f t="shared" si="13"/>
        <v>0.10793519517234222</v>
      </c>
      <c r="G39" s="29">
        <f t="shared" si="13"/>
        <v>0.19209205017786371</v>
      </c>
      <c r="H39" s="29">
        <f t="shared" si="13"/>
        <v>0.16820427494819082</v>
      </c>
      <c r="I39" s="83">
        <v>0.192</v>
      </c>
      <c r="J39" s="79">
        <v>0.2</v>
      </c>
      <c r="K39" s="79">
        <v>0.21859999999999999</v>
      </c>
      <c r="L39" s="79">
        <v>0.19700000000000001</v>
      </c>
      <c r="M39" s="79">
        <v>0.21859999999999999</v>
      </c>
      <c r="N39" s="79">
        <v>0.21859999999999999</v>
      </c>
      <c r="O39" s="79">
        <v>0.21859999999999999</v>
      </c>
      <c r="P39" s="79">
        <v>0.21859999999999999</v>
      </c>
      <c r="Q39" s="79">
        <v>0.21859999999999999</v>
      </c>
      <c r="R39" s="79">
        <v>0.21859999999999999</v>
      </c>
    </row>
    <row r="40" spans="1:86" s="71" customFormat="1" x14ac:dyDescent="0.25">
      <c r="A40" s="1"/>
      <c r="B40" s="1"/>
      <c r="C40" s="1"/>
      <c r="D40" s="1"/>
      <c r="E40" s="1"/>
      <c r="F40" s="1"/>
      <c r="G40" s="1"/>
      <c r="H40" s="1"/>
      <c r="I40" s="17"/>
      <c r="J40" s="1"/>
      <c r="K40" s="1"/>
      <c r="L40" s="1"/>
      <c r="M40" s="1"/>
      <c r="N40" s="1"/>
      <c r="O40" s="1"/>
      <c r="P40" s="1"/>
      <c r="Q40" s="1"/>
      <c r="R40" s="2"/>
    </row>
    <row r="41" spans="1:86" s="71" customFormat="1" x14ac:dyDescent="0.25">
      <c r="A41" s="1"/>
      <c r="B41" s="10" t="s">
        <v>20</v>
      </c>
      <c r="C41" s="10">
        <v>2022</v>
      </c>
      <c r="D41" s="10">
        <v>2021</v>
      </c>
      <c r="E41" s="11">
        <v>2020</v>
      </c>
      <c r="F41" s="10">
        <v>2019</v>
      </c>
      <c r="G41" s="10">
        <v>2018</v>
      </c>
      <c r="H41" s="10">
        <v>2017</v>
      </c>
      <c r="I41" s="33">
        <v>2023</v>
      </c>
      <c r="J41" s="10">
        <v>2024</v>
      </c>
      <c r="K41" s="10">
        <v>2025</v>
      </c>
      <c r="L41" s="10">
        <v>2026</v>
      </c>
      <c r="M41" s="10">
        <v>2027</v>
      </c>
      <c r="N41" s="10">
        <v>2028</v>
      </c>
      <c r="O41" s="10">
        <v>2029</v>
      </c>
      <c r="P41" s="10">
        <v>2030</v>
      </c>
      <c r="Q41" s="10">
        <v>2031</v>
      </c>
      <c r="R41" s="10">
        <v>2032</v>
      </c>
      <c r="S41" s="10">
        <v>2033</v>
      </c>
      <c r="T41" s="10">
        <v>2034</v>
      </c>
      <c r="U41" s="10">
        <v>2035</v>
      </c>
      <c r="V41" s="10">
        <v>2036</v>
      </c>
      <c r="W41" s="10">
        <v>2037</v>
      </c>
      <c r="X41" s="10">
        <v>2038</v>
      </c>
      <c r="Y41" s="10">
        <v>2039</v>
      </c>
      <c r="Z41" s="10">
        <v>2040</v>
      </c>
      <c r="AA41" s="10">
        <v>2041</v>
      </c>
      <c r="AB41" s="10">
        <v>2042</v>
      </c>
      <c r="AC41" s="10">
        <v>2043</v>
      </c>
      <c r="AD41" s="10">
        <v>2044</v>
      </c>
      <c r="AE41" s="10">
        <v>2045</v>
      </c>
      <c r="AF41" s="10">
        <v>2046</v>
      </c>
      <c r="AG41" s="10">
        <v>2047</v>
      </c>
      <c r="AH41" s="10">
        <v>2048</v>
      </c>
      <c r="AI41" s="10">
        <v>2049</v>
      </c>
      <c r="AJ41" s="10">
        <v>2050</v>
      </c>
      <c r="AK41" s="10">
        <v>2051</v>
      </c>
      <c r="AL41" s="10">
        <v>2052</v>
      </c>
      <c r="AM41" s="10">
        <v>2053</v>
      </c>
      <c r="AN41" s="10">
        <v>2054</v>
      </c>
      <c r="AO41" s="10">
        <v>2055</v>
      </c>
      <c r="AP41" s="10">
        <v>2056</v>
      </c>
      <c r="AQ41" s="10">
        <v>2057</v>
      </c>
      <c r="AR41" s="10">
        <v>2058</v>
      </c>
      <c r="AS41" s="10">
        <v>2059</v>
      </c>
      <c r="AT41" s="10">
        <v>2060</v>
      </c>
      <c r="AU41" s="10">
        <v>2061</v>
      </c>
      <c r="AV41" s="10">
        <v>2062</v>
      </c>
      <c r="AW41" s="10">
        <v>2063</v>
      </c>
      <c r="AX41" s="10">
        <v>2064</v>
      </c>
      <c r="AY41" s="10">
        <v>2065</v>
      </c>
      <c r="AZ41" s="10">
        <v>2066</v>
      </c>
      <c r="BA41" s="10">
        <v>2067</v>
      </c>
      <c r="BB41" s="10">
        <v>2068</v>
      </c>
      <c r="BC41" s="10">
        <v>2069</v>
      </c>
      <c r="BD41" s="10">
        <v>2070</v>
      </c>
      <c r="BE41" s="10">
        <v>2071</v>
      </c>
      <c r="BF41" s="10">
        <v>2072</v>
      </c>
      <c r="BG41" s="10">
        <v>2073</v>
      </c>
      <c r="BH41" s="10">
        <v>2074</v>
      </c>
      <c r="BI41" s="10">
        <v>2075</v>
      </c>
      <c r="BJ41" s="10">
        <v>2076</v>
      </c>
      <c r="BK41" s="10">
        <v>2077</v>
      </c>
      <c r="BL41" s="10">
        <v>2078</v>
      </c>
      <c r="BM41" s="10">
        <v>2079</v>
      </c>
      <c r="BN41" s="10">
        <v>2080</v>
      </c>
      <c r="BO41" s="10">
        <v>2081</v>
      </c>
      <c r="BP41" s="10">
        <v>2082</v>
      </c>
      <c r="BQ41" s="10">
        <v>2083</v>
      </c>
      <c r="BR41" s="10">
        <v>2084</v>
      </c>
      <c r="BS41" s="10">
        <v>2085</v>
      </c>
      <c r="BT41" s="10">
        <v>2086</v>
      </c>
      <c r="BU41" s="10">
        <v>2087</v>
      </c>
      <c r="BV41" s="10">
        <v>2088</v>
      </c>
      <c r="BW41" s="10">
        <v>2089</v>
      </c>
      <c r="BX41" s="10">
        <v>2090</v>
      </c>
      <c r="BY41" s="10">
        <v>2091</v>
      </c>
      <c r="BZ41" s="10">
        <v>2092</v>
      </c>
      <c r="CA41" s="10">
        <v>2093</v>
      </c>
      <c r="CB41" s="10">
        <v>2094</v>
      </c>
      <c r="CC41" s="10">
        <v>2095</v>
      </c>
      <c r="CD41" s="10">
        <v>2096</v>
      </c>
      <c r="CE41" s="10">
        <v>2097</v>
      </c>
      <c r="CF41" s="10">
        <v>2098</v>
      </c>
      <c r="CG41" s="10">
        <v>2099</v>
      </c>
      <c r="CH41" s="10">
        <v>2100</v>
      </c>
    </row>
    <row r="42" spans="1:86" s="71" customFormat="1" x14ac:dyDescent="0.25">
      <c r="A42" s="1"/>
      <c r="B42" s="1" t="s">
        <v>21</v>
      </c>
      <c r="C42" s="13">
        <v>446672</v>
      </c>
      <c r="D42" s="13">
        <v>521765</v>
      </c>
      <c r="E42" s="32">
        <v>576452</v>
      </c>
      <c r="F42" s="13">
        <v>607507</v>
      </c>
      <c r="G42" s="13">
        <v>591711</v>
      </c>
      <c r="H42" s="13">
        <v>595464</v>
      </c>
      <c r="I42" s="14">
        <f>I43*I11</f>
        <v>604817.25614203583</v>
      </c>
      <c r="J42" s="1">
        <f>J43*J11</f>
        <v>580391.72999999986</v>
      </c>
      <c r="K42" s="1">
        <f>K43*K11</f>
        <v>600705.44054999982</v>
      </c>
      <c r="L42" s="1">
        <f>L43*L11</f>
        <v>642990.39214949985</v>
      </c>
      <c r="M42" s="1">
        <f>M43*M11</f>
        <v>651058.58969855902</v>
      </c>
      <c r="N42" s="1">
        <f>N43*N11</f>
        <v>669031.9875381774</v>
      </c>
      <c r="O42" s="1">
        <f>O43*O11</f>
        <v>688500.21122093906</v>
      </c>
      <c r="P42" s="1">
        <f>P43*P11</f>
        <v>701518.50490291766</v>
      </c>
      <c r="Q42" s="1">
        <f>Q43*Q11</f>
        <v>721086.1116851694</v>
      </c>
      <c r="R42" s="1">
        <f>R43*R11</f>
        <v>741540.38061824767</v>
      </c>
    </row>
    <row r="43" spans="1:86" s="71" customFormat="1" x14ac:dyDescent="0.25">
      <c r="A43" s="1"/>
      <c r="B43" s="15" t="s">
        <v>17</v>
      </c>
      <c r="C43" s="16">
        <f>C42/C11</f>
        <v>4.7061253001436057E-2</v>
      </c>
      <c r="D43" s="16">
        <f>D42/D11</f>
        <v>5.2262032041639345E-2</v>
      </c>
      <c r="E43" s="16">
        <f>E42/E11</f>
        <v>5.7814759125563456E-2</v>
      </c>
      <c r="F43" s="16">
        <f>F42/F11</f>
        <v>6.3598667406042822E-2</v>
      </c>
      <c r="G43" s="16">
        <f>G42/G11</f>
        <v>5.2828447871558458E-2</v>
      </c>
      <c r="H43" s="16">
        <f>H42/H11</f>
        <v>5.0733637412760345E-2</v>
      </c>
      <c r="I43" s="27">
        <f>AVERAGE(C43:H43)</f>
        <v>5.4049799476500071E-2</v>
      </c>
      <c r="J43" s="56">
        <v>5.0999999999999997E-2</v>
      </c>
      <c r="K43" s="56">
        <v>5.0999999999999997E-2</v>
      </c>
      <c r="L43" s="56">
        <v>5.2999999999999999E-2</v>
      </c>
      <c r="M43" s="56">
        <f t="shared" ref="M43:R43" si="14">AVERAGE(G43:L43)</f>
        <v>5.210198079346981E-2</v>
      </c>
      <c r="N43" s="56">
        <f t="shared" si="14"/>
        <v>5.198090294712171E-2</v>
      </c>
      <c r="O43" s="56">
        <f t="shared" si="14"/>
        <v>5.2188780536181929E-2</v>
      </c>
      <c r="P43" s="56">
        <f t="shared" si="14"/>
        <v>5.1878610712795571E-2</v>
      </c>
      <c r="Q43" s="56">
        <f t="shared" si="14"/>
        <v>5.2025045831594841E-2</v>
      </c>
      <c r="R43" s="56">
        <f t="shared" si="14"/>
        <v>5.2195886803527304E-2</v>
      </c>
    </row>
    <row r="44" spans="1:86" s="71" customFormat="1" x14ac:dyDescent="0.25">
      <c r="A44" s="1"/>
      <c r="B44" s="1"/>
      <c r="C44" s="1"/>
      <c r="D44" s="1"/>
      <c r="E44" s="2"/>
      <c r="F44" s="1"/>
      <c r="G44" s="1"/>
      <c r="H44" s="1"/>
      <c r="I44" s="17"/>
      <c r="J44" s="1"/>
      <c r="K44" s="1"/>
      <c r="L44" s="1"/>
      <c r="M44" s="1"/>
      <c r="N44" s="1"/>
      <c r="O44" s="2"/>
      <c r="P44" s="2"/>
      <c r="Q44" s="2"/>
      <c r="R44" s="2"/>
    </row>
    <row r="45" spans="1:86" s="71" customFormat="1" x14ac:dyDescent="0.25">
      <c r="A45" s="1"/>
      <c r="B45" s="1" t="s">
        <v>22</v>
      </c>
      <c r="C45" s="13">
        <v>-905998</v>
      </c>
      <c r="D45" s="13">
        <v>-794110</v>
      </c>
      <c r="E45" s="32">
        <v>-545462</v>
      </c>
      <c r="F45" s="52">
        <v>-425557</v>
      </c>
      <c r="G45" s="13">
        <v>-676120</v>
      </c>
      <c r="H45" s="13">
        <v>-580742</v>
      </c>
      <c r="I45" s="14">
        <f>I46*I11</f>
        <v>-559500</v>
      </c>
      <c r="J45" s="78">
        <f>J46*J11</f>
        <v>-603152.18999999983</v>
      </c>
      <c r="K45" s="78">
        <f>K46*K11</f>
        <v>-647819.59274999984</v>
      </c>
      <c r="L45" s="78">
        <f>L46*L11</f>
        <v>-727913.65148999984</v>
      </c>
      <c r="M45" s="78">
        <f>M46*M11</f>
        <v>-812230.31612092478</v>
      </c>
      <c r="N45" s="78">
        <f>N46*N11</f>
        <v>-900950.85834336444</v>
      </c>
      <c r="O45" s="78">
        <f>O46*O11</f>
        <v>-989437.10335923033</v>
      </c>
      <c r="P45" s="78">
        <f>P46*P11</f>
        <v>-1081784.5663394253</v>
      </c>
      <c r="Q45" s="78">
        <f>Q46*Q11</f>
        <v>-1108829.1804979106</v>
      </c>
      <c r="R45" s="78">
        <f>R46*R11</f>
        <v>-1136549.9100103583</v>
      </c>
    </row>
    <row r="46" spans="1:86" s="71" customFormat="1" x14ac:dyDescent="0.25">
      <c r="A46" s="1"/>
      <c r="B46" s="15" t="s">
        <v>17</v>
      </c>
      <c r="C46" s="16">
        <f>C45/C11</f>
        <v>-9.5455728357262293E-2</v>
      </c>
      <c r="D46" s="16">
        <f>D45/D11</f>
        <v>-7.9541177090426185E-2</v>
      </c>
      <c r="E46" s="16">
        <f>E45/E11</f>
        <v>-5.4706643644480531E-2</v>
      </c>
      <c r="F46" s="16">
        <f>F45/F11</f>
        <v>-4.4550693416394158E-2</v>
      </c>
      <c r="G46" s="16">
        <f>G45/G11</f>
        <v>-6.0364553261504528E-2</v>
      </c>
      <c r="H46" s="16">
        <f>H45/H11</f>
        <v>-4.9479320426358719E-2</v>
      </c>
      <c r="I46" s="27">
        <v>-0.05</v>
      </c>
      <c r="J46" s="56">
        <v>-5.2999999999999999E-2</v>
      </c>
      <c r="K46" s="56">
        <v>-5.5E-2</v>
      </c>
      <c r="L46" s="56">
        <v>-0.06</v>
      </c>
      <c r="M46" s="56">
        <v>-6.5000000000000002E-2</v>
      </c>
      <c r="N46" s="56">
        <v>-7.0000000000000007E-2</v>
      </c>
      <c r="O46" s="56">
        <v>-7.4999999999999997E-2</v>
      </c>
      <c r="P46" s="56">
        <v>-0.08</v>
      </c>
      <c r="Q46" s="56">
        <v>-0.08</v>
      </c>
      <c r="R46" s="56">
        <v>-0.08</v>
      </c>
    </row>
    <row r="47" spans="1:86" s="71" customFormat="1" x14ac:dyDescent="0.25">
      <c r="A47" s="1"/>
      <c r="B47" s="1"/>
      <c r="C47" s="1"/>
      <c r="D47" s="1"/>
      <c r="E47" s="2"/>
      <c r="F47" s="1"/>
      <c r="G47" s="1"/>
      <c r="H47" s="1"/>
      <c r="I47" s="14"/>
      <c r="J47" s="78"/>
      <c r="K47" s="78"/>
      <c r="L47" s="78"/>
      <c r="M47" s="78"/>
      <c r="N47" s="78"/>
      <c r="O47" s="77"/>
      <c r="P47" s="77"/>
      <c r="Q47" s="77"/>
      <c r="R47" s="77"/>
    </row>
    <row r="48" spans="1:86" s="71" customFormat="1" x14ac:dyDescent="0.25">
      <c r="A48" s="1"/>
      <c r="B48" s="1" t="s">
        <v>23</v>
      </c>
      <c r="C48" s="1">
        <v>-229888</v>
      </c>
      <c r="D48" s="1">
        <v>-383900</v>
      </c>
      <c r="E48" s="2">
        <v>30105</v>
      </c>
      <c r="F48" s="1">
        <v>494593</v>
      </c>
      <c r="G48" s="1">
        <v>-353107</v>
      </c>
      <c r="H48" s="1">
        <v>-667589</v>
      </c>
      <c r="I48" s="14">
        <f>I49*I11</f>
        <v>-179564.01755411742</v>
      </c>
      <c r="J48" s="78">
        <f>J49*J11</f>
        <v>-113802.29999999999</v>
      </c>
      <c r="K48" s="78">
        <f>K49*K11</f>
        <v>-117785.38049999997</v>
      </c>
      <c r="L48" s="78">
        <f>L49*L11</f>
        <v>-121318.94191499997</v>
      </c>
      <c r="M48" s="78">
        <f>M49*M11</f>
        <v>-124958.51017244997</v>
      </c>
      <c r="N48" s="78">
        <f>N49*N11</f>
        <v>-128707.26547762347</v>
      </c>
      <c r="O48" s="78">
        <f>O49*O11</f>
        <v>-131924.94711456404</v>
      </c>
      <c r="P48" s="78">
        <f>P49*P11</f>
        <v>-135223.07079242816</v>
      </c>
      <c r="Q48" s="78">
        <f>Q49*Q11</f>
        <v>-138603.64756223882</v>
      </c>
      <c r="R48" s="78">
        <f>R49*R11</f>
        <v>-142068.73875129479</v>
      </c>
    </row>
    <row r="49" spans="1:86" s="71" customFormat="1" x14ac:dyDescent="0.25">
      <c r="A49" s="1"/>
      <c r="B49" s="15" t="s">
        <v>17</v>
      </c>
      <c r="C49" s="16">
        <f>C48/C11</f>
        <v>-2.422094362304808E-2</v>
      </c>
      <c r="D49" s="16">
        <f>D48/D11</f>
        <v>-3.8452932068623512E-2</v>
      </c>
      <c r="E49" s="16">
        <f>E48/E11</f>
        <v>3.0193551648274057E-3</v>
      </c>
      <c r="F49" s="16">
        <f>F48/F11</f>
        <v>5.1777931296852445E-2</v>
      </c>
      <c r="G49" s="16">
        <f>G48/G11</f>
        <v>-3.152568524597716E-2</v>
      </c>
      <c r="H49" s="16">
        <f>H48/H11</f>
        <v>-5.6878700083879574E-2</v>
      </c>
      <c r="I49" s="81">
        <f>AVERAGE(C49:H49)</f>
        <v>-1.6046829093308082E-2</v>
      </c>
      <c r="J49" s="80">
        <v>-0.01</v>
      </c>
      <c r="K49" s="80">
        <v>-0.01</v>
      </c>
      <c r="L49" s="80">
        <v>-0.01</v>
      </c>
      <c r="M49" s="80">
        <v>-0.01</v>
      </c>
      <c r="N49" s="80">
        <v>-0.01</v>
      </c>
      <c r="O49" s="80">
        <v>-0.01</v>
      </c>
      <c r="P49" s="80">
        <v>-0.01</v>
      </c>
      <c r="Q49" s="80">
        <v>-0.01</v>
      </c>
      <c r="R49" s="80">
        <v>-0.01</v>
      </c>
    </row>
    <row r="50" spans="1:86" s="71" customFormat="1" x14ac:dyDescent="0.25">
      <c r="A50" s="1"/>
      <c r="B50" s="1"/>
      <c r="C50" s="1"/>
      <c r="D50" s="1"/>
      <c r="E50" s="1"/>
      <c r="F50" s="1"/>
      <c r="G50" s="1"/>
      <c r="H50" s="1"/>
      <c r="I50" s="14"/>
      <c r="J50" s="78"/>
      <c r="K50" s="78"/>
      <c r="L50" s="78"/>
      <c r="M50" s="78"/>
      <c r="N50" s="78"/>
      <c r="O50" s="78"/>
      <c r="P50" s="78"/>
      <c r="Q50" s="78"/>
      <c r="R50" s="77"/>
    </row>
    <row r="51" spans="1:86" s="71" customFormat="1" x14ac:dyDescent="0.25">
      <c r="A51" s="1"/>
      <c r="B51" s="10" t="s">
        <v>24</v>
      </c>
      <c r="C51" s="13">
        <f t="shared" ref="C51:H51" si="15">C35-C38</f>
        <v>1011008</v>
      </c>
      <c r="D51" s="13">
        <f t="shared" si="15"/>
        <v>910980</v>
      </c>
      <c r="E51" s="13">
        <f t="shared" si="15"/>
        <v>822250</v>
      </c>
      <c r="F51" s="13">
        <f t="shared" si="15"/>
        <v>567355</v>
      </c>
      <c r="G51" s="13">
        <f t="shared" si="15"/>
        <v>1078566</v>
      </c>
      <c r="H51" s="13">
        <f t="shared" si="15"/>
        <v>781878</v>
      </c>
      <c r="I51" s="54">
        <f t="shared" ref="I51" si="16">I35-I38</f>
        <v>768529.20000000007</v>
      </c>
      <c r="J51" s="76">
        <f t="shared" ref="J51:R51" si="17">J35-J38</f>
        <v>728334.72</v>
      </c>
      <c r="K51" s="76">
        <f t="shared" si="17"/>
        <v>736299.97058159986</v>
      </c>
      <c r="L51" s="76">
        <f t="shared" si="17"/>
        <v>779352.88286195986</v>
      </c>
      <c r="M51" s="76">
        <f t="shared" si="17"/>
        <v>829961.9287143955</v>
      </c>
      <c r="N51" s="76">
        <f t="shared" si="17"/>
        <v>854860.78657582751</v>
      </c>
      <c r="O51" s="76">
        <f t="shared" si="17"/>
        <v>927775.38307788305</v>
      </c>
      <c r="P51" s="76">
        <f t="shared" si="17"/>
        <v>950969.76765483012</v>
      </c>
      <c r="Q51" s="76">
        <f t="shared" si="17"/>
        <v>974744.0118462008</v>
      </c>
      <c r="R51" s="76">
        <f t="shared" si="17"/>
        <v>999112.61214235576</v>
      </c>
    </row>
    <row r="52" spans="1:86" s="71" customFormat="1" x14ac:dyDescent="0.25">
      <c r="A52" s="1"/>
      <c r="B52" s="10" t="s">
        <v>53</v>
      </c>
      <c r="C52" s="13">
        <v>3054</v>
      </c>
      <c r="D52" s="13">
        <v>3151</v>
      </c>
      <c r="E52" s="13">
        <v>360</v>
      </c>
      <c r="F52" s="13">
        <v>132</v>
      </c>
      <c r="G52" s="13">
        <v>389</v>
      </c>
      <c r="H52" s="13">
        <v>536</v>
      </c>
      <c r="I52" s="54">
        <v>550.5</v>
      </c>
      <c r="J52" s="76">
        <v>629</v>
      </c>
      <c r="K52" s="76">
        <v>707.5</v>
      </c>
      <c r="L52" s="76">
        <v>786</v>
      </c>
      <c r="M52" s="76">
        <v>864.5</v>
      </c>
      <c r="N52" s="76">
        <v>943</v>
      </c>
      <c r="O52" s="76">
        <v>1021.5</v>
      </c>
      <c r="P52" s="76">
        <v>1100</v>
      </c>
      <c r="Q52" s="76">
        <v>1178.5</v>
      </c>
      <c r="R52" s="76">
        <v>1257</v>
      </c>
    </row>
    <row r="53" spans="1:86" s="71" customFormat="1" x14ac:dyDescent="0.25">
      <c r="A53" s="1"/>
      <c r="B53" s="10" t="s">
        <v>25</v>
      </c>
      <c r="C53" s="13">
        <f t="shared" ref="C53:I53" si="18">C33-C38-C52</f>
        <v>971638</v>
      </c>
      <c r="D53" s="13">
        <f t="shared" si="18"/>
        <v>861704</v>
      </c>
      <c r="E53" s="13">
        <f t="shared" si="18"/>
        <v>744211</v>
      </c>
      <c r="F53" s="13">
        <f t="shared" si="18"/>
        <v>515595</v>
      </c>
      <c r="G53" s="13">
        <f t="shared" si="18"/>
        <v>1033159</v>
      </c>
      <c r="H53" s="13">
        <f t="shared" si="18"/>
        <v>25247</v>
      </c>
      <c r="I53" s="54">
        <f t="shared" si="18"/>
        <v>696369.09999999974</v>
      </c>
      <c r="J53" s="76">
        <f t="shared" ref="J53:R53" si="19">J33-J38-J52</f>
        <v>895710.36999999988</v>
      </c>
      <c r="K53" s="76">
        <f t="shared" si="19"/>
        <v>871295.5119615997</v>
      </c>
      <c r="L53" s="76">
        <f t="shared" si="19"/>
        <v>779409.68286195956</v>
      </c>
      <c r="M53" s="76">
        <f t="shared" si="19"/>
        <v>769231.77362817037</v>
      </c>
      <c r="N53" s="76">
        <f t="shared" si="19"/>
        <v>789564.15383701562</v>
      </c>
      <c r="O53" s="76">
        <f t="shared" si="19"/>
        <v>799213.33596331894</v>
      </c>
      <c r="P53" s="76">
        <f t="shared" si="19"/>
        <v>820801.89686240186</v>
      </c>
      <c r="Q53" s="76">
        <f t="shared" si="19"/>
        <v>842887.86428396218</v>
      </c>
      <c r="R53" s="76">
        <f t="shared" si="19"/>
        <v>865483.67339106102</v>
      </c>
      <c r="S53" s="72">
        <f>R53*(1+$E$6)</f>
        <v>856828.83665715042</v>
      </c>
      <c r="T53" s="72">
        <f t="shared" ref="T53:CE53" si="20">S53*(1+$E$6)</f>
        <v>848260.54829057888</v>
      </c>
      <c r="U53" s="72">
        <f t="shared" si="20"/>
        <v>839777.94280767313</v>
      </c>
      <c r="V53" s="72">
        <f t="shared" si="20"/>
        <v>831380.16337959643</v>
      </c>
      <c r="W53" s="72">
        <f t="shared" si="20"/>
        <v>823066.36174580047</v>
      </c>
      <c r="X53" s="72">
        <f t="shared" si="20"/>
        <v>814835.69812834251</v>
      </c>
      <c r="Y53" s="72">
        <f t="shared" si="20"/>
        <v>806687.34114705911</v>
      </c>
      <c r="Z53" s="72">
        <f t="shared" si="20"/>
        <v>798620.46773558855</v>
      </c>
      <c r="AA53" s="72">
        <f t="shared" si="20"/>
        <v>790634.26305823261</v>
      </c>
      <c r="AB53" s="72">
        <f t="shared" si="20"/>
        <v>782727.92042765033</v>
      </c>
      <c r="AC53" s="72">
        <f t="shared" si="20"/>
        <v>774900.64122337382</v>
      </c>
      <c r="AD53" s="72">
        <f t="shared" si="20"/>
        <v>767151.63481114013</v>
      </c>
      <c r="AE53" s="72">
        <f t="shared" si="20"/>
        <v>759480.11846302869</v>
      </c>
      <c r="AF53" s="72">
        <f t="shared" si="20"/>
        <v>751885.31727839843</v>
      </c>
      <c r="AG53" s="72">
        <f t="shared" si="20"/>
        <v>744366.46410561446</v>
      </c>
      <c r="AH53" s="72">
        <f t="shared" si="20"/>
        <v>736922.79946455837</v>
      </c>
      <c r="AI53" s="72">
        <f t="shared" si="20"/>
        <v>729553.57146991277</v>
      </c>
      <c r="AJ53" s="72">
        <f t="shared" si="20"/>
        <v>722258.03575521358</v>
      </c>
      <c r="AK53" s="72">
        <f t="shared" si="20"/>
        <v>715035.45539766143</v>
      </c>
      <c r="AL53" s="72">
        <f t="shared" si="20"/>
        <v>707885.10084368475</v>
      </c>
      <c r="AM53" s="72">
        <f t="shared" si="20"/>
        <v>700806.24983524787</v>
      </c>
      <c r="AN53" s="72">
        <f t="shared" si="20"/>
        <v>693798.18733689538</v>
      </c>
      <c r="AO53" s="72">
        <f t="shared" si="20"/>
        <v>686860.20546352642</v>
      </c>
      <c r="AP53" s="72">
        <f t="shared" si="20"/>
        <v>679991.60340889113</v>
      </c>
      <c r="AQ53" s="72">
        <f t="shared" si="20"/>
        <v>673191.68737480219</v>
      </c>
      <c r="AR53" s="72">
        <f t="shared" si="20"/>
        <v>666459.77050105412</v>
      </c>
      <c r="AS53" s="72">
        <f t="shared" si="20"/>
        <v>659795.17279604357</v>
      </c>
      <c r="AT53" s="72">
        <f t="shared" si="20"/>
        <v>653197.22106808308</v>
      </c>
      <c r="AU53" s="72">
        <f t="shared" si="20"/>
        <v>646665.24885740224</v>
      </c>
      <c r="AV53" s="72">
        <f t="shared" si="20"/>
        <v>640198.59636882821</v>
      </c>
      <c r="AW53" s="72">
        <f t="shared" si="20"/>
        <v>633796.61040513997</v>
      </c>
      <c r="AX53" s="72">
        <f t="shared" si="20"/>
        <v>627458.64430108853</v>
      </c>
      <c r="AY53" s="72">
        <f t="shared" si="20"/>
        <v>621184.05785807769</v>
      </c>
      <c r="AZ53" s="72">
        <f t="shared" si="20"/>
        <v>614972.21727949695</v>
      </c>
      <c r="BA53" s="72">
        <f t="shared" si="20"/>
        <v>608822.49510670197</v>
      </c>
      <c r="BB53" s="72">
        <f t="shared" si="20"/>
        <v>602734.27015563496</v>
      </c>
      <c r="BC53" s="72">
        <f t="shared" si="20"/>
        <v>596706.92745407857</v>
      </c>
      <c r="BD53" s="72">
        <f t="shared" si="20"/>
        <v>590739.85817953781</v>
      </c>
      <c r="BE53" s="72">
        <f t="shared" si="20"/>
        <v>584832.45959774242</v>
      </c>
      <c r="BF53" s="72">
        <f t="shared" si="20"/>
        <v>578984.13500176498</v>
      </c>
      <c r="BG53" s="72">
        <f t="shared" si="20"/>
        <v>573194.29365174728</v>
      </c>
      <c r="BH53" s="72">
        <f t="shared" si="20"/>
        <v>567462.35071522975</v>
      </c>
      <c r="BI53" s="72">
        <f t="shared" si="20"/>
        <v>561787.72720807744</v>
      </c>
      <c r="BJ53" s="72">
        <f t="shared" si="20"/>
        <v>556169.8499359967</v>
      </c>
      <c r="BK53" s="72">
        <f t="shared" si="20"/>
        <v>550608.15143663669</v>
      </c>
      <c r="BL53" s="72">
        <f t="shared" si="20"/>
        <v>545102.06992227037</v>
      </c>
      <c r="BM53" s="72">
        <f t="shared" si="20"/>
        <v>539651.04922304768</v>
      </c>
      <c r="BN53" s="72">
        <f t="shared" si="20"/>
        <v>534254.53873081715</v>
      </c>
      <c r="BO53" s="72">
        <f t="shared" si="20"/>
        <v>528911.99334350892</v>
      </c>
      <c r="BP53" s="72">
        <f t="shared" si="20"/>
        <v>523622.87341007381</v>
      </c>
      <c r="BQ53" s="72">
        <f t="shared" si="20"/>
        <v>518386.64467597305</v>
      </c>
      <c r="BR53" s="72">
        <f t="shared" si="20"/>
        <v>513202.77822921332</v>
      </c>
      <c r="BS53" s="72">
        <f t="shared" si="20"/>
        <v>508070.75044692116</v>
      </c>
      <c r="BT53" s="72">
        <f t="shared" si="20"/>
        <v>502990.04294245195</v>
      </c>
      <c r="BU53" s="72">
        <f t="shared" si="20"/>
        <v>497960.14251302741</v>
      </c>
      <c r="BV53" s="72">
        <f t="shared" si="20"/>
        <v>492980.54108789715</v>
      </c>
      <c r="BW53" s="72">
        <f t="shared" si="20"/>
        <v>488050.73567701818</v>
      </c>
      <c r="BX53" s="72">
        <f t="shared" si="20"/>
        <v>483170.22832024802</v>
      </c>
      <c r="BY53" s="72">
        <f t="shared" si="20"/>
        <v>478338.52603704552</v>
      </c>
      <c r="BZ53" s="72">
        <f t="shared" si="20"/>
        <v>473555.14077667508</v>
      </c>
      <c r="CA53" s="72">
        <f t="shared" si="20"/>
        <v>468819.58936890832</v>
      </c>
      <c r="CB53" s="72">
        <f t="shared" si="20"/>
        <v>464131.39347521926</v>
      </c>
      <c r="CC53" s="72">
        <f t="shared" si="20"/>
        <v>459490.07954046706</v>
      </c>
      <c r="CD53" s="72">
        <f t="shared" si="20"/>
        <v>454895.17874506238</v>
      </c>
      <c r="CE53" s="72">
        <f t="shared" si="20"/>
        <v>450346.22695761174</v>
      </c>
      <c r="CF53" s="72">
        <f t="shared" ref="CF53:CH53" si="21">CE53*(1+$E$6)</f>
        <v>445842.76468803559</v>
      </c>
      <c r="CG53" s="72">
        <f t="shared" si="21"/>
        <v>441384.3370411552</v>
      </c>
      <c r="CH53" s="72">
        <f t="shared" si="21"/>
        <v>436970.49367074366</v>
      </c>
    </row>
    <row r="54" spans="1:86" s="71" customFormat="1" x14ac:dyDescent="0.25">
      <c r="A54" s="1"/>
      <c r="B54" s="6"/>
      <c r="C54" s="13"/>
      <c r="D54" s="13"/>
      <c r="E54" s="13"/>
      <c r="F54" s="13"/>
      <c r="G54" s="13"/>
      <c r="H54" s="13"/>
      <c r="I54" s="14"/>
      <c r="J54" s="1"/>
      <c r="K54" s="1"/>
      <c r="L54" s="1"/>
      <c r="M54" s="1"/>
      <c r="N54" s="1"/>
      <c r="O54" s="1"/>
      <c r="P54" s="1"/>
      <c r="Q54" s="1"/>
      <c r="R54" s="2"/>
    </row>
    <row r="55" spans="1:86" s="71" customFormat="1" x14ac:dyDescent="0.25">
      <c r="A55" s="1"/>
      <c r="B55" s="10" t="s">
        <v>26</v>
      </c>
      <c r="C55" s="34">
        <f t="shared" ref="C55:I55" si="22">C51+C42+C45-C48</f>
        <v>781570</v>
      </c>
      <c r="D55" s="34">
        <f t="shared" si="22"/>
        <v>1022535</v>
      </c>
      <c r="E55" s="34">
        <f t="shared" si="22"/>
        <v>823135</v>
      </c>
      <c r="F55" s="34">
        <f t="shared" si="22"/>
        <v>254712</v>
      </c>
      <c r="G55" s="34">
        <f t="shared" si="22"/>
        <v>1347264</v>
      </c>
      <c r="H55" s="34">
        <f t="shared" si="22"/>
        <v>1464189</v>
      </c>
      <c r="I55" s="82">
        <f t="shared" si="22"/>
        <v>993410.47369615315</v>
      </c>
      <c r="J55" s="34">
        <f t="shared" ref="J55:R55" si="23">J51+J42+J45-J48</f>
        <v>819376.55999999982</v>
      </c>
      <c r="K55" s="34">
        <f t="shared" si="23"/>
        <v>806971.19888159982</v>
      </c>
      <c r="L55" s="34">
        <f t="shared" si="23"/>
        <v>815748.56543645996</v>
      </c>
      <c r="M55" s="34">
        <f t="shared" si="23"/>
        <v>793748.71246447985</v>
      </c>
      <c r="N55" s="34">
        <f t="shared" si="23"/>
        <v>751649.18124826381</v>
      </c>
      <c r="O55" s="34">
        <f t="shared" si="23"/>
        <v>758763.43805415579</v>
      </c>
      <c r="P55" s="34">
        <f t="shared" si="23"/>
        <v>705926.77701075072</v>
      </c>
      <c r="Q55" s="34">
        <f t="shared" si="23"/>
        <v>725604.59059569845</v>
      </c>
      <c r="R55" s="34">
        <f t="shared" si="23"/>
        <v>746171.82150153979</v>
      </c>
    </row>
    <row r="56" spans="1:86" s="71" customFormat="1" x14ac:dyDescent="0.25">
      <c r="A56" s="1"/>
      <c r="B56" s="35" t="s">
        <v>27</v>
      </c>
      <c r="C56" s="1"/>
      <c r="D56" s="1"/>
      <c r="E56" s="1"/>
      <c r="F56" s="1"/>
      <c r="G56" s="1"/>
      <c r="H56" s="1"/>
      <c r="I56" s="21">
        <f>I55/((1+$E$5)^I9)</f>
        <v>902967.14992649143</v>
      </c>
      <c r="J56" s="22">
        <f>J55/((1+$E$5)^J9)</f>
        <v>676970.85006891121</v>
      </c>
      <c r="K56" s="22">
        <f>K55/((1+$E$5)^K9)</f>
        <v>606021.01435731002</v>
      </c>
      <c r="L56" s="22">
        <f>L55/((1+$E$5)^L9)</f>
        <v>556838.40939800185</v>
      </c>
      <c r="M56" s="22">
        <f>M55/((1+$E$5)^M9)</f>
        <v>492491.92685132747</v>
      </c>
      <c r="N56" s="22">
        <f>N55/((1+$E$5)^N9)</f>
        <v>423910.80562979187</v>
      </c>
      <c r="O56" s="22">
        <f>O55/((1+$E$5)^O9)</f>
        <v>388963.55459980213</v>
      </c>
      <c r="P56" s="22">
        <f>P55/((1+$E$5)^P9)</f>
        <v>328931.44037342176</v>
      </c>
      <c r="Q56" s="22">
        <f>Q55/((1+$E$5)^Q9)</f>
        <v>307318.68704979209</v>
      </c>
      <c r="R56" s="22">
        <f>R55/((1+$E$5)^R9)</f>
        <v>287257.25632865657</v>
      </c>
    </row>
    <row r="57" spans="1:86" s="71" customFormat="1" x14ac:dyDescent="0.25">
      <c r="A57" s="1"/>
      <c r="B57" s="36"/>
      <c r="C57" s="36"/>
      <c r="D57" s="36"/>
      <c r="E57" s="36"/>
      <c r="F57" s="36"/>
      <c r="G57" s="36"/>
      <c r="H57" s="36"/>
      <c r="I57" s="37"/>
      <c r="J57" s="36"/>
      <c r="K57" s="36"/>
      <c r="L57" s="36"/>
      <c r="M57" s="36"/>
      <c r="N57" s="36"/>
      <c r="O57" s="36"/>
      <c r="P57" s="36"/>
      <c r="Q57" s="36"/>
      <c r="R57" s="36"/>
    </row>
    <row r="58" spans="1:86" s="71" customFormat="1" x14ac:dyDescent="0.25">
      <c r="A58" s="1"/>
      <c r="B58" s="1" t="s">
        <v>28</v>
      </c>
      <c r="C58" s="38">
        <f>(R55*(1+$E$6))/($E$5-$E$6)</f>
        <v>6705648.6515079783</v>
      </c>
      <c r="D58" s="1"/>
      <c r="E58" s="1" t="s">
        <v>29</v>
      </c>
      <c r="F58" s="22">
        <f>NPV($E$5,I53:CH53)</f>
        <v>7956271.9372313423</v>
      </c>
      <c r="G58" s="1"/>
      <c r="H58" s="1"/>
      <c r="I58" s="17"/>
      <c r="J58" s="1"/>
      <c r="K58" s="1"/>
      <c r="L58" s="1"/>
      <c r="M58" s="1"/>
      <c r="N58" s="1"/>
      <c r="O58" s="1"/>
      <c r="P58" s="1"/>
      <c r="Q58" s="1"/>
      <c r="R58" s="2"/>
    </row>
    <row r="59" spans="1:86" s="71" customFormat="1" x14ac:dyDescent="0.25">
      <c r="A59" s="1"/>
      <c r="B59" s="3" t="s">
        <v>30</v>
      </c>
      <c r="C59" s="39">
        <f>C58/((1+$E$5)^$R$9)</f>
        <v>2581504.9269213961</v>
      </c>
      <c r="D59" s="19"/>
      <c r="E59" s="3"/>
      <c r="F59" s="3"/>
      <c r="G59" s="3"/>
      <c r="H59" s="40"/>
      <c r="I59" s="18"/>
      <c r="J59" s="19"/>
      <c r="K59" s="19"/>
      <c r="L59" s="19"/>
      <c r="M59" s="19"/>
      <c r="N59" s="19"/>
      <c r="O59" s="19"/>
      <c r="P59" s="19"/>
      <c r="Q59" s="19"/>
      <c r="R59" s="41"/>
    </row>
    <row r="60" spans="1:86" x14ac:dyDescent="0.25">
      <c r="A60" s="1"/>
      <c r="B60" s="6" t="s">
        <v>31</v>
      </c>
      <c r="C60" s="6"/>
      <c r="D60" s="1"/>
      <c r="E60" s="6"/>
      <c r="F60" s="6"/>
      <c r="G60" s="42" t="s">
        <v>32</v>
      </c>
      <c r="H60" s="42" t="s">
        <v>29</v>
      </c>
      <c r="I60" s="17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43" t="s">
        <v>33</v>
      </c>
      <c r="C61" s="1"/>
      <c r="D61" s="32">
        <f>572858+150000</f>
        <v>722858</v>
      </c>
      <c r="E61" s="1"/>
      <c r="F61" s="1"/>
      <c r="G61" s="38">
        <f>C59+SUM(I56:R56)</f>
        <v>7553176.0215049013</v>
      </c>
      <c r="H61" s="22">
        <f>F58</f>
        <v>7956271.9372313423</v>
      </c>
      <c r="I61" s="17"/>
      <c r="J61" s="1"/>
      <c r="L61" s="84" t="s">
        <v>55</v>
      </c>
      <c r="M61" s="85"/>
      <c r="N61" s="85"/>
      <c r="O61" s="85"/>
      <c r="P61" s="85"/>
      <c r="Q61" s="84"/>
    </row>
    <row r="62" spans="1:86" x14ac:dyDescent="0.25">
      <c r="A62" s="1"/>
      <c r="B62" s="44" t="s">
        <v>34</v>
      </c>
      <c r="C62" s="3"/>
      <c r="D62" s="57">
        <v>1056000</v>
      </c>
      <c r="E62" s="3"/>
      <c r="F62" s="3"/>
      <c r="G62" s="3"/>
      <c r="H62" s="3"/>
      <c r="I62" s="17"/>
      <c r="K62" s="84"/>
      <c r="L62" s="92">
        <f>E66</f>
        <v>116.54494314334363</v>
      </c>
      <c r="M62" s="86">
        <v>-0.02</v>
      </c>
      <c r="N62" s="86">
        <v>-1.4999999999999999E-2</v>
      </c>
      <c r="O62" s="86">
        <v>-0.01</v>
      </c>
      <c r="P62" s="86">
        <v>5.0000000000000001E-3</v>
      </c>
      <c r="Q62" s="86">
        <v>0.01</v>
      </c>
    </row>
    <row r="63" spans="1:86" x14ac:dyDescent="0.25">
      <c r="A63" s="1"/>
      <c r="B63" s="6" t="s">
        <v>35</v>
      </c>
      <c r="C63" s="6"/>
      <c r="D63" s="6"/>
      <c r="E63" s="6"/>
      <c r="F63" s="6"/>
      <c r="G63" s="45">
        <f>G61+D61-D62</f>
        <v>7220034.0215049013</v>
      </c>
      <c r="H63" s="46">
        <f>H61+D61-D62</f>
        <v>7623129.9372313432</v>
      </c>
      <c r="I63" s="17"/>
      <c r="K63" s="84"/>
      <c r="L63" s="87">
        <v>8.0162363356213434E-2</v>
      </c>
      <c r="M63" s="89">
        <f t="dataTable" ref="M63:Q67" dt2D="1" dtr="1" r1="E6" r2="E5"/>
        <v>137.0401555633166</v>
      </c>
      <c r="N63" s="89">
        <v>140.3359702188078</v>
      </c>
      <c r="O63" s="89">
        <v>143.98940751567073</v>
      </c>
      <c r="P63" s="89">
        <v>157.76262868783181</v>
      </c>
      <c r="Q63" s="89">
        <v>163.59794125342</v>
      </c>
    </row>
    <row r="64" spans="1:86" x14ac:dyDescent="0.25">
      <c r="A64" s="1"/>
      <c r="B64" s="3" t="s">
        <v>36</v>
      </c>
      <c r="C64" s="3"/>
      <c r="D64" s="3">
        <f>63.68*1000</f>
        <v>63680</v>
      </c>
      <c r="E64" s="3"/>
      <c r="F64" s="3"/>
      <c r="G64" s="3"/>
      <c r="H64" s="47"/>
      <c r="I64" s="17"/>
      <c r="K64" s="85"/>
      <c r="L64" s="87">
        <v>9.0162363356213429E-2</v>
      </c>
      <c r="M64" s="89">
        <v>123.64434324828039</v>
      </c>
      <c r="N64" s="90">
        <v>126.14672766030279</v>
      </c>
      <c r="O64" s="90">
        <v>128.89547068932299</v>
      </c>
      <c r="P64" s="90">
        <v>139.03376120303415</v>
      </c>
      <c r="Q64" s="89">
        <v>143.22884209074817</v>
      </c>
    </row>
    <row r="65" spans="1:17" x14ac:dyDescent="0.25">
      <c r="A65" s="1"/>
      <c r="B65" s="20" t="s">
        <v>37</v>
      </c>
      <c r="C65" s="20"/>
      <c r="D65" s="20">
        <f>D64*$J$5</f>
        <v>6520195.2000000002</v>
      </c>
      <c r="E65" s="20"/>
      <c r="F65" s="20"/>
      <c r="G65" s="20"/>
      <c r="H65" s="48"/>
      <c r="I65" s="1"/>
      <c r="K65" s="84" t="s">
        <v>1</v>
      </c>
      <c r="L65" s="87">
        <v>0.10016236335621342</v>
      </c>
      <c r="M65" s="89">
        <v>112.50595463765458</v>
      </c>
      <c r="N65" s="90">
        <v>114.43850972485015</v>
      </c>
      <c r="O65" s="91">
        <v>116.54494314334363</v>
      </c>
      <c r="P65" s="90">
        <v>124.17280444313525</v>
      </c>
      <c r="Q65" s="89">
        <v>127.26744213257874</v>
      </c>
    </row>
    <row r="66" spans="1:17" x14ac:dyDescent="0.25">
      <c r="A66" s="1"/>
      <c r="B66" s="6" t="s">
        <v>38</v>
      </c>
      <c r="D66" s="6" t="s">
        <v>39</v>
      </c>
      <c r="E66" s="6">
        <f>(G66+H66)/2</f>
        <v>116.54494314334363</v>
      </c>
      <c r="F66" s="6"/>
      <c r="G66" s="49">
        <f>G63/D64</f>
        <v>113.37993124222521</v>
      </c>
      <c r="H66" s="50">
        <f>H63/D64</f>
        <v>119.70995504446205</v>
      </c>
      <c r="I66" s="17"/>
      <c r="K66" s="84"/>
      <c r="L66" s="88">
        <v>0.11016236335621342</v>
      </c>
      <c r="M66" s="89">
        <v>103.1059891773305</v>
      </c>
      <c r="N66" s="90">
        <v>104.62045866378094</v>
      </c>
      <c r="O66" s="90">
        <v>106.26026202935856</v>
      </c>
      <c r="P66" s="90">
        <v>112.10652234504116</v>
      </c>
      <c r="Q66" s="89">
        <v>114.43906508069081</v>
      </c>
    </row>
    <row r="67" spans="1:17" x14ac:dyDescent="0.25">
      <c r="B67" s="59"/>
      <c r="C67" s="59"/>
      <c r="D67" s="59"/>
      <c r="E67" s="59"/>
      <c r="F67" s="59"/>
      <c r="G67" s="59"/>
      <c r="H67" s="59"/>
      <c r="I67" s="31"/>
      <c r="K67" s="84"/>
      <c r="L67" s="88">
        <v>0.12016236335621341</v>
      </c>
      <c r="M67" s="89">
        <v>95.07173442969659</v>
      </c>
      <c r="N67" s="89">
        <v>96.273718397455355</v>
      </c>
      <c r="O67" s="89">
        <v>97.567725623304455</v>
      </c>
      <c r="P67" s="89">
        <v>102.11996713119646</v>
      </c>
      <c r="Q67" s="89">
        <v>103.91046009429758</v>
      </c>
    </row>
  </sheetData>
  <sortState xmlns:xlrd2="http://schemas.microsoft.com/office/spreadsheetml/2017/richdata2" columnSort="1" ref="C10:H56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I8" sqref="I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58" t="s">
        <v>1</v>
      </c>
      <c r="C2" s="2"/>
      <c r="D2" s="2"/>
      <c r="E2" s="2"/>
      <c r="F2" s="2"/>
      <c r="G2" s="2"/>
      <c r="H2" s="2"/>
      <c r="I2" s="2"/>
      <c r="J2" s="2"/>
      <c r="K2" s="2"/>
      <c r="L2" s="59"/>
    </row>
    <row r="3" spans="1:12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2"/>
    </row>
    <row r="4" spans="1:12" x14ac:dyDescent="0.25">
      <c r="A4" s="61" t="s">
        <v>42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43</v>
      </c>
      <c r="C6" s="2"/>
      <c r="D6" s="62">
        <f>'MHK DCF'!I39</f>
        <v>0.192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44</v>
      </c>
      <c r="C7" s="2"/>
      <c r="D7" s="62">
        <v>5.3999999999999999E-2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45</v>
      </c>
      <c r="C8" s="2"/>
      <c r="D8" s="63">
        <v>1.27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46</v>
      </c>
      <c r="C9" s="2"/>
      <c r="D9" s="62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35</v>
      </c>
      <c r="B12" s="2"/>
      <c r="C12" s="32">
        <f>'MHK DCF'!D65</f>
        <v>6520195.2000000002</v>
      </c>
      <c r="D12" s="2"/>
      <c r="E12" s="2" t="s">
        <v>34</v>
      </c>
      <c r="F12" s="2"/>
      <c r="G12" s="32">
        <f>'MHK DCF'!D62</f>
        <v>1056000</v>
      </c>
      <c r="H12" s="2"/>
      <c r="I12" s="2" t="s">
        <v>47</v>
      </c>
      <c r="J12" s="2"/>
      <c r="K12" s="32">
        <f>G12+C12</f>
        <v>7576195.2000000002</v>
      </c>
      <c r="L12" s="2"/>
    </row>
    <row r="13" spans="1:12" x14ac:dyDescent="0.25">
      <c r="A13" s="2" t="s">
        <v>48</v>
      </c>
      <c r="B13" s="2"/>
      <c r="C13" s="64">
        <f>C12/K12</f>
        <v>0.86061605170891053</v>
      </c>
      <c r="D13" s="2"/>
      <c r="E13" s="2" t="s">
        <v>49</v>
      </c>
      <c r="F13" s="2"/>
      <c r="G13" s="65">
        <f>G12/K12</f>
        <v>0.13938394829108944</v>
      </c>
      <c r="H13" s="2"/>
      <c r="I13" s="2"/>
      <c r="J13" s="2"/>
      <c r="K13" s="2"/>
      <c r="L13" s="2"/>
    </row>
    <row r="14" spans="1:12" x14ac:dyDescent="0.25">
      <c r="A14" s="2" t="s">
        <v>50</v>
      </c>
      <c r="B14" s="2"/>
      <c r="C14" s="66">
        <f>D7+D8*(D9)</f>
        <v>0.11115</v>
      </c>
      <c r="D14" s="2"/>
      <c r="E14" s="2" t="s">
        <v>51</v>
      </c>
      <c r="F14" s="2"/>
      <c r="G14" s="67">
        <v>0.04</v>
      </c>
      <c r="H14" s="2"/>
      <c r="I14" s="68" t="s">
        <v>1</v>
      </c>
      <c r="J14" s="69"/>
      <c r="K14" s="70">
        <f>C13*C14+G14*G13*(1-D6)</f>
        <v>0.10016236335621342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MHK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2023-05-04T11:32:00Z</dcterms:modified>
</cp:coreProperties>
</file>