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FA63DAA2-2EFF-442F-8A6F-921D3F459AB4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CDW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5" i="1" l="1"/>
  <c r="L59" i="1"/>
  <c r="L56" i="1"/>
  <c r="D56" i="1"/>
  <c r="D58" i="1"/>
  <c r="I40" i="1"/>
  <c r="J40" i="1"/>
  <c r="I37" i="1"/>
  <c r="J37" i="1"/>
  <c r="J14" i="1"/>
  <c r="I14" i="1"/>
  <c r="I11" i="1"/>
  <c r="J11" i="1"/>
  <c r="K11" i="1" s="1"/>
  <c r="L11" i="1" s="1"/>
  <c r="M11" i="1" s="1"/>
  <c r="N11" i="1" s="1"/>
  <c r="O11" i="1" s="1"/>
  <c r="P11" i="1" s="1"/>
  <c r="Q11" i="1" s="1"/>
  <c r="C49" i="1"/>
  <c r="G43" i="1"/>
  <c r="H43" i="1"/>
  <c r="F43" i="1"/>
  <c r="D43" i="1"/>
  <c r="E43" i="1"/>
  <c r="C43" i="1"/>
  <c r="G40" i="1"/>
  <c r="H40" i="1"/>
  <c r="F40" i="1"/>
  <c r="D40" i="1"/>
  <c r="E40" i="1"/>
  <c r="C40" i="1"/>
  <c r="G37" i="1"/>
  <c r="H37" i="1"/>
  <c r="F37" i="1"/>
  <c r="D37" i="1"/>
  <c r="E37" i="1"/>
  <c r="C37" i="1"/>
  <c r="C38" i="1" s="1"/>
  <c r="G33" i="1"/>
  <c r="H33" i="1"/>
  <c r="F33" i="1"/>
  <c r="D33" i="1"/>
  <c r="E33" i="1"/>
  <c r="C33" i="1"/>
  <c r="G25" i="1"/>
  <c r="H25" i="1"/>
  <c r="F25" i="1"/>
  <c r="D25" i="1"/>
  <c r="E25" i="1"/>
  <c r="C25" i="1"/>
  <c r="G19" i="1"/>
  <c r="H19" i="1"/>
  <c r="H22" i="1" s="1"/>
  <c r="F19" i="1"/>
  <c r="F22" i="1" s="1"/>
  <c r="E19" i="1"/>
  <c r="E22" i="1" s="1"/>
  <c r="D19" i="1"/>
  <c r="D22" i="1" s="1"/>
  <c r="C19" i="1"/>
  <c r="C22" i="1" s="1"/>
  <c r="G14" i="1"/>
  <c r="H14" i="1"/>
  <c r="F14" i="1"/>
  <c r="D14" i="1"/>
  <c r="E14" i="1"/>
  <c r="C14" i="1"/>
  <c r="G11" i="1"/>
  <c r="G16" i="1" s="1"/>
  <c r="H11" i="1"/>
  <c r="F11" i="1"/>
  <c r="F16" i="1" s="1"/>
  <c r="F24" i="1" s="1"/>
  <c r="D11" i="1"/>
  <c r="D16" i="1" s="1"/>
  <c r="D24" i="1" s="1"/>
  <c r="E11" i="1"/>
  <c r="C11" i="1"/>
  <c r="C16" i="1" s="1"/>
  <c r="C24" i="1" s="1"/>
  <c r="C28" i="1" s="1"/>
  <c r="C47" i="1" s="1"/>
  <c r="L58" i="1"/>
  <c r="D59" i="1"/>
  <c r="C12" i="2" s="1"/>
  <c r="G22" i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L40" i="1" l="1"/>
  <c r="K37" i="1"/>
  <c r="K40" i="1"/>
  <c r="R11" i="1"/>
  <c r="E20" i="1"/>
  <c r="G24" i="1"/>
  <c r="G28" i="1" s="1"/>
  <c r="G47" i="1" s="1"/>
  <c r="H16" i="1"/>
  <c r="H24" i="1" s="1"/>
  <c r="E16" i="1"/>
  <c r="E24" i="1" s="1"/>
  <c r="E28" i="1" s="1"/>
  <c r="E47" i="1" s="1"/>
  <c r="E38" i="1"/>
  <c r="P40" i="1"/>
  <c r="D44" i="1"/>
  <c r="N40" i="1"/>
  <c r="F12" i="1"/>
  <c r="F20" i="1"/>
  <c r="Q40" i="1"/>
  <c r="O40" i="1"/>
  <c r="M40" i="1"/>
  <c r="C26" i="1"/>
  <c r="D26" i="1"/>
  <c r="H26" i="1"/>
  <c r="Q37" i="1"/>
  <c r="O37" i="1"/>
  <c r="M37" i="1"/>
  <c r="E26" i="1"/>
  <c r="F26" i="1"/>
  <c r="G26" i="1"/>
  <c r="P37" i="1"/>
  <c r="N37" i="1"/>
  <c r="L37" i="1"/>
  <c r="P25" i="1"/>
  <c r="N25" i="1"/>
  <c r="L25" i="1"/>
  <c r="J25" i="1"/>
  <c r="I25" i="1"/>
  <c r="Q25" i="1"/>
  <c r="O25" i="1"/>
  <c r="M25" i="1"/>
  <c r="K25" i="1"/>
  <c r="C44" i="1"/>
  <c r="D38" i="1"/>
  <c r="F41" i="1"/>
  <c r="F44" i="1"/>
  <c r="G41" i="1"/>
  <c r="E44" i="1"/>
  <c r="G44" i="1"/>
  <c r="G38" i="1"/>
  <c r="G12" i="1"/>
  <c r="F38" i="1"/>
  <c r="G20" i="1"/>
  <c r="D20" i="1"/>
  <c r="D28" i="1"/>
  <c r="D47" i="1" s="1"/>
  <c r="F28" i="1"/>
  <c r="F47" i="1" s="1"/>
  <c r="C20" i="1"/>
  <c r="D12" i="1"/>
  <c r="D41" i="1"/>
  <c r="H12" i="1"/>
  <c r="I16" i="1"/>
  <c r="D17" i="1"/>
  <c r="F17" i="1"/>
  <c r="C17" i="1"/>
  <c r="H20" i="1"/>
  <c r="H38" i="1"/>
  <c r="C41" i="1"/>
  <c r="H41" i="1"/>
  <c r="H28" i="1"/>
  <c r="H47" i="1" s="1"/>
  <c r="H44" i="1"/>
  <c r="E12" i="1"/>
  <c r="E41" i="1"/>
  <c r="K12" i="2"/>
  <c r="G13" i="2" s="1"/>
  <c r="G17" i="1"/>
  <c r="R25" i="1" l="1"/>
  <c r="R37" i="1"/>
  <c r="G30" i="1"/>
  <c r="G46" i="1" s="1"/>
  <c r="E17" i="1"/>
  <c r="E30" i="1"/>
  <c r="E46" i="1" s="1"/>
  <c r="E49" i="1" s="1"/>
  <c r="H17" i="1"/>
  <c r="C13" i="2"/>
  <c r="K14" i="2" s="1"/>
  <c r="E5" i="1" s="1"/>
  <c r="F30" i="1"/>
  <c r="D30" i="1"/>
  <c r="H30" i="1"/>
  <c r="H46" i="1" s="1"/>
  <c r="H49" i="1" s="1"/>
  <c r="G34" i="1"/>
  <c r="G31" i="1"/>
  <c r="G49" i="1"/>
  <c r="E31" i="1" l="1"/>
  <c r="E34" i="1"/>
  <c r="H31" i="1"/>
  <c r="F34" i="1"/>
  <c r="F46" i="1"/>
  <c r="F49" i="1" s="1"/>
  <c r="D46" i="1"/>
  <c r="D49" i="1" s="1"/>
  <c r="C30" i="1"/>
  <c r="C46" i="1" s="1"/>
  <c r="D31" i="1"/>
  <c r="D34" i="1"/>
  <c r="F31" i="1"/>
  <c r="H34" i="1"/>
  <c r="C34" i="1" l="1"/>
  <c r="C31" i="1"/>
  <c r="I43" i="1"/>
  <c r="I19" i="1" l="1"/>
  <c r="I22" i="1" s="1"/>
  <c r="I24" i="1" s="1"/>
  <c r="I28" i="1" l="1"/>
  <c r="I30" i="1" l="1"/>
  <c r="I31" i="1" l="1"/>
  <c r="I33" i="1"/>
  <c r="I46" i="1" s="1"/>
  <c r="I47" i="1" l="1"/>
  <c r="J43" i="1"/>
  <c r="J19" i="1"/>
  <c r="J22" i="1" s="1"/>
  <c r="J24" i="1" s="1"/>
  <c r="J16" i="1"/>
  <c r="J28" i="1" l="1"/>
  <c r="J30" i="1"/>
  <c r="J33" i="1" l="1"/>
  <c r="J47" i="1" s="1"/>
  <c r="J31" i="1"/>
  <c r="K16" i="1"/>
  <c r="K14" i="1" s="1"/>
  <c r="K43" i="1"/>
  <c r="K19" i="1"/>
  <c r="K22" i="1" s="1"/>
  <c r="K24" i="1" s="1"/>
  <c r="J46" i="1" l="1"/>
  <c r="K28" i="1"/>
  <c r="L16" i="1"/>
  <c r="L14" i="1" s="1"/>
  <c r="L19" i="1"/>
  <c r="L22" i="1" s="1"/>
  <c r="L43" i="1"/>
  <c r="L24" i="1" l="1"/>
  <c r="L28" i="1" s="1"/>
  <c r="K30" i="1"/>
  <c r="L30" i="1" l="1"/>
  <c r="L33" i="1" s="1"/>
  <c r="L47" i="1" s="1"/>
  <c r="K33" i="1"/>
  <c r="K47" i="1" s="1"/>
  <c r="K31" i="1"/>
  <c r="M19" i="1"/>
  <c r="M22" i="1" s="1"/>
  <c r="M43" i="1"/>
  <c r="M16" i="1"/>
  <c r="M14" i="1" s="1"/>
  <c r="L31" i="1" l="1"/>
  <c r="K46" i="1"/>
  <c r="M24" i="1"/>
  <c r="L46" i="1"/>
  <c r="L49" i="1" s="1"/>
  <c r="L50" i="1" s="1"/>
  <c r="M28" i="1"/>
  <c r="M30" i="1" l="1"/>
  <c r="N19" i="1"/>
  <c r="N22" i="1" s="1"/>
  <c r="N43" i="1"/>
  <c r="N16" i="1"/>
  <c r="N14" i="1" s="1"/>
  <c r="N24" i="1" l="1"/>
  <c r="N28" i="1" s="1"/>
  <c r="M31" i="1"/>
  <c r="M33" i="1"/>
  <c r="M46" i="1" s="1"/>
  <c r="M49" i="1" l="1"/>
  <c r="M50" i="1" s="1"/>
  <c r="M47" i="1"/>
  <c r="N30" i="1"/>
  <c r="N33" i="1" l="1"/>
  <c r="N47" i="1" s="1"/>
  <c r="N31" i="1"/>
  <c r="N46" i="1" l="1"/>
  <c r="N49" i="1" s="1"/>
  <c r="N50" i="1" s="1"/>
  <c r="O43" i="1"/>
  <c r="O19" i="1"/>
  <c r="O22" i="1" s="1"/>
  <c r="O16" i="1"/>
  <c r="O14" i="1" s="1"/>
  <c r="O24" i="1" l="1"/>
  <c r="O28" i="1" s="1"/>
  <c r="O30" i="1" l="1"/>
  <c r="P19" i="1"/>
  <c r="P22" i="1" s="1"/>
  <c r="P43" i="1"/>
  <c r="P16" i="1"/>
  <c r="P14" i="1" s="1"/>
  <c r="O31" i="1" l="1"/>
  <c r="P24" i="1"/>
  <c r="P28" i="1" s="1"/>
  <c r="O33" i="1"/>
  <c r="O47" i="1" s="1"/>
  <c r="O46" i="1" l="1"/>
  <c r="O49" i="1" s="1"/>
  <c r="O50" i="1" s="1"/>
  <c r="P30" i="1"/>
  <c r="P31" i="1" l="1"/>
  <c r="P33" i="1"/>
  <c r="P47" i="1" s="1"/>
  <c r="Q16" i="1"/>
  <c r="Q14" i="1" s="1"/>
  <c r="Q19" i="1"/>
  <c r="Q22" i="1" s="1"/>
  <c r="Q43" i="1"/>
  <c r="Q24" i="1" l="1"/>
  <c r="P46" i="1"/>
  <c r="P49" i="1" s="1"/>
  <c r="P50" i="1" s="1"/>
  <c r="Q28" i="1"/>
  <c r="R19" i="1"/>
  <c r="R22" i="1" s="1"/>
  <c r="Q30" i="1" l="1"/>
  <c r="R40" i="1"/>
  <c r="R16" i="1"/>
  <c r="R14" i="1" s="1"/>
  <c r="R43" i="1"/>
  <c r="R24" i="1" l="1"/>
  <c r="R28" i="1" s="1"/>
  <c r="Q31" i="1"/>
  <c r="Q33" i="1"/>
  <c r="Q46" i="1" s="1"/>
  <c r="Q49" i="1" l="1"/>
  <c r="Q50" i="1" s="1"/>
  <c r="Q47" i="1"/>
  <c r="R30" i="1"/>
  <c r="R31" i="1" l="1"/>
  <c r="R33" i="1"/>
  <c r="R47" i="1" s="1"/>
  <c r="S47" i="1" l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K47" i="1" s="1"/>
  <c r="BL47" i="1" s="1"/>
  <c r="BM47" i="1" s="1"/>
  <c r="BN47" i="1" s="1"/>
  <c r="BO47" i="1" s="1"/>
  <c r="BP47" i="1" s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R46" i="1"/>
  <c r="R49" i="1" s="1"/>
  <c r="C52" i="1" s="1"/>
  <c r="C53" i="1" s="1"/>
  <c r="R50" i="1" l="1"/>
  <c r="F52" i="1"/>
  <c r="H55" i="1" s="1"/>
  <c r="H57" i="1" s="1"/>
  <c r="H60" i="1" s="1"/>
  <c r="J49" i="1" l="1"/>
  <c r="J50" i="1" s="1"/>
  <c r="K49" i="1"/>
  <c r="K50" i="1" s="1"/>
  <c r="I49" i="1"/>
  <c r="I50" i="1" s="1"/>
  <c r="G55" i="1" l="1"/>
  <c r="G57" i="1" s="1"/>
  <c r="G60" i="1" s="1"/>
  <c r="E60" i="1" s="1"/>
  <c r="L54" i="1" s="1"/>
  <c r="J6" i="1" l="1"/>
  <c r="N5" i="1" s="1"/>
</calcChain>
</file>

<file path=xl/sharedStrings.xml><?xml version="1.0" encoding="utf-8"?>
<sst xmlns="http://schemas.openxmlformats.org/spreadsheetml/2006/main" count="200" uniqueCount="128">
  <si>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</si>
  <si>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</si>
  <si>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</si>
  <si>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</si>
  <si>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</si>
  <si>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</si>
  <si>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</si>
  <si>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</si>
  <si>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</si>
  <si>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</si>
  <si>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</si>
  <si>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</si>
  <si>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</si>
  <si>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</si>
  <si>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</si>
  <si>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</si>
  <si>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</si>
  <si>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</si>
  <si>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</si>
  <si>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</si>
  <si>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</si>
  <si>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</si>
  <si>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</si>
  <si>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</si>
  <si>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</si>
  <si>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</si>
  <si>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</si>
  <si>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</si>
  <si>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</si>
  <si>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</si>
  <si>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</si>
  <si>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</si>
  <si>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</si>
  <si>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</si>
  <si>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</si>
  <si>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</si>
  <si>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</si>
  <si>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</si>
  <si>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</si>
  <si>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</si>
  <si>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</si>
  <si>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</si>
  <si>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</si>
  <si>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</si>
  <si>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</si>
  <si>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</si>
  <si>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</si>
  <si>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</si>
  <si>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</si>
  <si>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</si>
  <si>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/>
  </si>
  <si>
    <t>Depreciation and amortization</t>
  </si>
  <si>
    <t>Interest expense, net</t>
  </si>
  <si>
    <t>taxes</t>
  </si>
  <si>
    <t>Diluted</t>
  </si>
  <si>
    <t>Basic</t>
  </si>
  <si>
    <t>Deferred income taxes</t>
  </si>
  <si>
    <t>Other assets</t>
  </si>
  <si>
    <t>Interest paid</t>
  </si>
  <si>
    <t>Other</t>
  </si>
  <si>
    <t>Repurchases of common stock</t>
  </si>
  <si>
    <t>Other income</t>
  </si>
  <si>
    <t>Terminal Growth Rate</t>
  </si>
  <si>
    <t>Year Ended December 31,</t>
  </si>
  <si>
    <t>Net sales</t>
  </si>
  <si>
    <t>Cost of sales</t>
  </si>
  <si>
    <t>Gross profit</t>
  </si>
  <si>
    <t>Selling and administrative expenses</t>
  </si>
  <si>
    <t>Other (expense) income, net</t>
  </si>
  <si>
    <t>Income before income taxes</t>
  </si>
  <si>
    <t>Income tax expense</t>
  </si>
  <si>
    <t>Net income per common share:</t>
  </si>
  <si>
    <t>Weighted-average common shares outstanding:</t>
  </si>
  <si>
    <t>Cash flows from operating activities:</t>
  </si>
  <si>
    <t>Adjustments to reconcile net income to net cash provided by</t>
  </si>
  <si>
    <t>operating activities:</t>
  </si>
  <si>
    <t>Equity-based compensation expense</t>
  </si>
  <si>
    <t>Provision for credit losses</t>
  </si>
  <si>
    <t>Changes in assets and liabilities:</t>
  </si>
  <si>
    <t>Accounts receivable</t>
  </si>
  <si>
    <t>Merchandise inventory</t>
  </si>
  <si>
    <t>Accounts payable-trade</t>
  </si>
  <si>
    <t>Other liabilities</t>
  </si>
  <si>
    <t>Net cash provided by operating activities</t>
  </si>
  <si>
    <t>Cash flows from investing activities:</t>
  </si>
  <si>
    <t>Capital expenditures</t>
  </si>
  <si>
    <t>Acquisitions of businesses, net of cash acquired</t>
  </si>
  <si>
    <t>Proceeds from the sale of equity method investment</t>
  </si>
  <si>
    <t>Net cash used in investing activities</t>
  </si>
  <si>
    <t>Cash flows from financing activities:</t>
  </si>
  <si>
    <t>Proceeds from borrowings under revolving credit facilities</t>
  </si>
  <si>
    <t>Repayments of borrowings under revolving credit facilities</t>
  </si>
  <si>
    <t>Proceeds from issuance of long-term debt</t>
  </si>
  <si>
    <t>Repayments of debt</t>
  </si>
  <si>
    <t>Repayments of receivable financing liability</t>
  </si>
  <si>
    <t>Payments to extinguish debt</t>
  </si>
  <si>
    <t>Payments of debt financing fees</t>
  </si>
  <si>
    <t>Net change in accounts payable-inventory financing</t>
  </si>
  <si>
    <t>Financing payments for revenue generating assets</t>
  </si>
  <si>
    <t>Proceeds from stock option exercises</t>
  </si>
  <si>
    <t>Payment of incentive compensation plan withholding taxes</t>
  </si>
  <si>
    <t>Dividend payments</t>
  </si>
  <si>
    <t>Net cash (used in) provided by financing activities</t>
  </si>
  <si>
    <t>Effect of exchange rate changes on cash and cash equivalents</t>
  </si>
  <si>
    <t>Net increase (decrease) in cash and cash equivalents</t>
  </si>
  <si>
    <t>Cash and cash equivalents - beginning of period</t>
  </si>
  <si>
    <t>Cash and cash equivalents - end of period</t>
  </si>
  <si>
    <t>Supplementary disclosure of cash flow information:</t>
  </si>
  <si>
    <t>Income taxes paid, net</t>
  </si>
  <si>
    <t>Advertising expense</t>
  </si>
  <si>
    <t>Adjustments to reconcile net income to net cash</t>
  </si>
  <si>
    <t>provided by operating activities:</t>
  </si>
  <si>
    <t>Cash flows used in investing activities:</t>
  </si>
  <si>
    <t>Acquisition of businesses, net of cash acquired</t>
  </si>
  <si>
    <t>Cash flows used in financing activities:</t>
  </si>
  <si>
    <t>Proceeds from borrowings under revolving credit</t>
  </si>
  <si>
    <t>facilities</t>
  </si>
  <si>
    <t>Repayments of borrowings under revolving credit</t>
  </si>
  <si>
    <t>Repayments of long-term debt</t>
  </si>
  <si>
    <t>Payments to extinguish long-term debt</t>
  </si>
  <si>
    <t>Payment of incentive compensation plan withholding</t>
  </si>
  <si>
    <t>Net cash used in financing activities</t>
  </si>
  <si>
    <t>Effect of exchange rate changes on cash and cash</t>
  </si>
  <si>
    <t>equivalents</t>
  </si>
  <si>
    <t>Net (decrease) increase in cash and cash equivalents</t>
  </si>
  <si>
    <t>Taxes paid, net</t>
  </si>
  <si>
    <t>CDW Corporation DCF</t>
  </si>
  <si>
    <t>Update: 16/06/2023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</si>
</sst>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6" formatCode="_(&quot;$&quot;* #,##0.00_);_(&quot;$&quot;* \(#,##0.00\);_(&quot;$&quot;* &quot;-&quot;??_);_(@_)"/>
    <numFmt numFmtId="167" formatCode="_(* #,##0.00_);_(* \(#,##0.00\);_(* &quot;-&quot;??_);_(@_)"/>
    <numFmt numFmtId="169" formatCode="#,##0.0_ ;\-#,##0.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9" fontId="7" fillId="11" borderId="3" xfId="0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169" fontId="3" fillId="2" borderId="0" xfId="1" applyNumberFormat="1" applyFont="1" applyFill="1"/>
    <xf numFmtId="39" fontId="3" fillId="2" borderId="0" xfId="0" applyNumberFormat="1" applyFont="1" applyFill="1"/>
    <xf numFmtId="1" fontId="7" fillId="2" borderId="3" xfId="1" applyNumberFormat="1" applyFont="1" applyFill="1" applyBorder="1"/>
    <xf numFmtId="1" fontId="7" fillId="2" borderId="0" xfId="1" applyNumberFormat="1" applyFont="1" applyFill="1" applyBorder="1"/>
    <xf numFmtId="0" fontId="6" fillId="4" borderId="0" xfId="0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9" fontId="7" fillId="11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1"/>
  <sheetViews>
    <sheetView tabSelected="1" zoomScaleNormal="100" workbookViewId="0">
      <selection activeCell="K7" sqref="K7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126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9.8786134894692582E-2</v>
      </c>
      <c r="F5" s="2"/>
      <c r="G5" s="1"/>
      <c r="H5" s="1" t="s">
        <v>2</v>
      </c>
      <c r="I5" s="1"/>
      <c r="J5" s="7">
        <v>178.35</v>
      </c>
      <c r="K5" s="1"/>
      <c r="L5" s="1" t="s">
        <v>3</v>
      </c>
      <c r="M5" s="1"/>
      <c r="N5" s="7">
        <f>(J6/J5)-1</f>
        <v>-2.1416566380138113E-2</v>
      </c>
      <c r="O5" s="1"/>
      <c r="P5" s="1" t="s">
        <v>127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57">
        <f>E60</f>
        <v>174.53035538610237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88">
        <v>2024</v>
      </c>
      <c r="K10" s="88">
        <v>2025</v>
      </c>
      <c r="L10" s="88">
        <v>2026</v>
      </c>
      <c r="M10" s="88">
        <v>2027</v>
      </c>
      <c r="N10" s="88">
        <v>2028</v>
      </c>
      <c r="O10" s="88">
        <v>2029</v>
      </c>
      <c r="P10" s="88">
        <v>2030</v>
      </c>
      <c r="Q10" s="88">
        <v>2031</v>
      </c>
      <c r="R10" s="88">
        <v>2032</v>
      </c>
    </row>
    <row r="11" spans="1:18" s="51" customFormat="1" x14ac:dyDescent="0.25">
      <c r="A11" s="1"/>
      <c r="B11" s="1" t="s">
        <v>7</v>
      </c>
      <c r="C11" s="11">
        <f>'Raw IS'!G3</f>
        <v>14832.9</v>
      </c>
      <c r="D11" s="11">
        <f>'Raw IS'!H3</f>
        <v>16240.5</v>
      </c>
      <c r="E11" s="11">
        <f>'Raw IS'!I3</f>
        <v>18032.400000000001</v>
      </c>
      <c r="F11" s="11">
        <f>'Raw IS'!B3</f>
        <v>18467.5</v>
      </c>
      <c r="G11" s="11">
        <f>'Raw IS'!C3</f>
        <v>20820.8</v>
      </c>
      <c r="H11" s="11">
        <f>'Raw IS'!D3</f>
        <v>23748.7</v>
      </c>
      <c r="I11" s="19">
        <f t="shared" ref="I11" si="1">H11*(1+I12)</f>
        <v>22120</v>
      </c>
      <c r="J11" s="89">
        <f t="shared" ref="J11" si="2">I11*(1+J12)</f>
        <v>23700</v>
      </c>
      <c r="K11" s="89">
        <f t="shared" ref="K11" si="3">J11*(1+K12)</f>
        <v>25359</v>
      </c>
      <c r="L11" s="89">
        <f t="shared" ref="L11" si="4">K11*(1+L12)</f>
        <v>26626.95</v>
      </c>
      <c r="M11" s="89">
        <f t="shared" ref="M11" si="5">L11*(1+M12)</f>
        <v>27958.297500000001</v>
      </c>
      <c r="N11" s="89">
        <f t="shared" ref="N11" si="6">M11*(1+N12)</f>
        <v>29356.212375000003</v>
      </c>
      <c r="O11" s="89">
        <f t="shared" ref="O11" si="7">N11*(1+O12)</f>
        <v>30824.022993750004</v>
      </c>
      <c r="P11" s="89">
        <f t="shared" ref="P11" si="8">O11*(1+P12)</f>
        <v>32365.224143437506</v>
      </c>
      <c r="Q11" s="89">
        <f t="shared" ref="Q11" si="9">P11*(1+Q12)</f>
        <v>33983.485350609386</v>
      </c>
      <c r="R11" s="89">
        <f t="shared" ref="J11:R11" si="10">Q11*(1+R12)</f>
        <v>35682.659618139856</v>
      </c>
    </row>
    <row r="12" spans="1:18" s="51" customFormat="1" x14ac:dyDescent="0.25">
      <c r="A12" s="1"/>
      <c r="B12" s="75" t="s">
        <v>8</v>
      </c>
      <c r="C12" s="76"/>
      <c r="D12" s="76">
        <f>(D11/C11)-1</f>
        <v>9.4897154298889674E-2</v>
      </c>
      <c r="E12" s="76">
        <f>(E11/D11)-1</f>
        <v>0.1103352729287892</v>
      </c>
      <c r="F12" s="76">
        <f>(F11/E11)-1</f>
        <v>2.4128790399503108E-2</v>
      </c>
      <c r="G12" s="76">
        <f>(G11/F11)-1</f>
        <v>0.12742926763232698</v>
      </c>
      <c r="H12" s="76">
        <f>(H11/G11)-1</f>
        <v>0.14062379927764557</v>
      </c>
      <c r="I12" s="77">
        <v>-6.8580595990517357E-2</v>
      </c>
      <c r="J12" s="78">
        <v>7.1428571428571397E-2</v>
      </c>
      <c r="K12" s="78">
        <v>7.0000000000000007E-2</v>
      </c>
      <c r="L12" s="78">
        <v>0.05</v>
      </c>
      <c r="M12" s="78">
        <v>0.05</v>
      </c>
      <c r="N12" s="78">
        <v>0.05</v>
      </c>
      <c r="O12" s="78">
        <v>0.05</v>
      </c>
      <c r="P12" s="78">
        <v>0.05</v>
      </c>
      <c r="Q12" s="78">
        <v>0.05</v>
      </c>
      <c r="R12" s="78">
        <v>0.05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91"/>
      <c r="K13" s="91"/>
      <c r="L13" s="91"/>
      <c r="M13" s="91"/>
      <c r="N13" s="91"/>
      <c r="O13" s="91"/>
      <c r="P13" s="91"/>
      <c r="Q13" s="91"/>
      <c r="R13" s="91"/>
    </row>
    <row r="14" spans="1:18" s="51" customFormat="1" x14ac:dyDescent="0.25">
      <c r="A14" s="1"/>
      <c r="B14" s="1" t="s">
        <v>9</v>
      </c>
      <c r="C14" s="11">
        <f>'Raw IS'!G4</f>
        <v>12382.7</v>
      </c>
      <c r="D14" s="11">
        <f>'Raw IS'!H4</f>
        <v>13533.6</v>
      </c>
      <c r="E14" s="11">
        <f>'Raw IS'!I4</f>
        <v>14992.5</v>
      </c>
      <c r="F14" s="11">
        <f>'Raw IS'!B4</f>
        <v>15257.4</v>
      </c>
      <c r="G14" s="11">
        <f>'Raw IS'!C4</f>
        <v>17252.3</v>
      </c>
      <c r="H14" s="11">
        <f>'Raw IS'!D4</f>
        <v>19062.099999999999</v>
      </c>
      <c r="I14" s="72">
        <f>I11-I16</f>
        <v>17541.16</v>
      </c>
      <c r="J14" s="73">
        <f t="shared" ref="J14:R14" si="11">J11-J16</f>
        <v>18922.080000000002</v>
      </c>
      <c r="K14" s="73">
        <f t="shared" si="11"/>
        <v>20337.917999999998</v>
      </c>
      <c r="L14" s="73">
        <f t="shared" si="11"/>
        <v>21354.813900000001</v>
      </c>
      <c r="M14" s="73">
        <f t="shared" si="11"/>
        <v>22422.554595000001</v>
      </c>
      <c r="N14" s="73">
        <f t="shared" si="11"/>
        <v>23543.682324750003</v>
      </c>
      <c r="O14" s="73">
        <f t="shared" si="11"/>
        <v>24720.866440987505</v>
      </c>
      <c r="P14" s="73">
        <f t="shared" si="11"/>
        <v>25956.909763036878</v>
      </c>
      <c r="Q14" s="73">
        <f t="shared" si="11"/>
        <v>27254.755251188726</v>
      </c>
      <c r="R14" s="73">
        <f t="shared" si="11"/>
        <v>28617.493013748164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0"/>
      <c r="K15" s="90"/>
      <c r="L15" s="90"/>
      <c r="M15" s="90"/>
      <c r="N15" s="90"/>
      <c r="O15" s="90"/>
      <c r="P15" s="90"/>
      <c r="Q15" s="90"/>
      <c r="R15" s="90"/>
    </row>
    <row r="16" spans="1:18" s="51" customFormat="1" x14ac:dyDescent="0.25">
      <c r="A16" s="1"/>
      <c r="B16" s="1" t="s">
        <v>10</v>
      </c>
      <c r="C16" s="11">
        <f>C11-C14</f>
        <v>2450.1999999999989</v>
      </c>
      <c r="D16" s="11">
        <f t="shared" ref="D16:H16" si="12">D11-D14</f>
        <v>2706.8999999999996</v>
      </c>
      <c r="E16" s="11">
        <f t="shared" si="12"/>
        <v>3039.9000000000015</v>
      </c>
      <c r="F16" s="11">
        <f t="shared" si="12"/>
        <v>3210.1000000000004</v>
      </c>
      <c r="G16" s="11">
        <f t="shared" si="12"/>
        <v>3568.5</v>
      </c>
      <c r="H16" s="11">
        <f t="shared" si="12"/>
        <v>4686.6000000000022</v>
      </c>
      <c r="I16" s="19">
        <f>I11*I17</f>
        <v>4578.84</v>
      </c>
      <c r="J16" s="89">
        <f t="shared" ref="J16:R16" si="13">J11*J17</f>
        <v>4777.92</v>
      </c>
      <c r="K16" s="89">
        <f>K11*K17</f>
        <v>5021.0820000000003</v>
      </c>
      <c r="L16" s="89">
        <f t="shared" si="13"/>
        <v>5272.1361000000006</v>
      </c>
      <c r="M16" s="89">
        <f t="shared" si="13"/>
        <v>5535.7429050000001</v>
      </c>
      <c r="N16" s="89">
        <f t="shared" si="13"/>
        <v>5812.5300502500004</v>
      </c>
      <c r="O16" s="89">
        <f t="shared" si="13"/>
        <v>6103.1565527625007</v>
      </c>
      <c r="P16" s="89">
        <f t="shared" si="13"/>
        <v>6408.3143804006268</v>
      </c>
      <c r="Q16" s="89">
        <f t="shared" si="13"/>
        <v>6728.7300994206589</v>
      </c>
      <c r="R16" s="89">
        <f t="shared" si="13"/>
        <v>7065.1666043916921</v>
      </c>
    </row>
    <row r="17" spans="1:18" s="51" customFormat="1" x14ac:dyDescent="0.25">
      <c r="A17" s="1"/>
      <c r="B17" s="75" t="s">
        <v>11</v>
      </c>
      <c r="C17" s="76">
        <f t="shared" ref="C17:H17" si="14">C16/C11</f>
        <v>0.16518684815511459</v>
      </c>
      <c r="D17" s="76">
        <f t="shared" si="14"/>
        <v>0.16667590283550382</v>
      </c>
      <c r="E17" s="76">
        <f t="shared" si="14"/>
        <v>0.16857988953217548</v>
      </c>
      <c r="F17" s="76">
        <f t="shared" si="14"/>
        <v>0.17382428590767568</v>
      </c>
      <c r="G17" s="76">
        <f t="shared" si="14"/>
        <v>0.1713911088911089</v>
      </c>
      <c r="H17" s="76">
        <f t="shared" si="14"/>
        <v>0.19734132815690972</v>
      </c>
      <c r="I17" s="81">
        <v>0.20699999999999999</v>
      </c>
      <c r="J17" s="92">
        <v>0.2016</v>
      </c>
      <c r="K17" s="92">
        <v>0.19800000000000001</v>
      </c>
      <c r="L17" s="92">
        <v>0.19800000000000001</v>
      </c>
      <c r="M17" s="92">
        <v>0.19800000000000001</v>
      </c>
      <c r="N17" s="92">
        <v>0.19800000000000001</v>
      </c>
      <c r="O17" s="92">
        <v>0.19800000000000001</v>
      </c>
      <c r="P17" s="92">
        <v>0.19800000000000001</v>
      </c>
      <c r="Q17" s="92">
        <v>0.19800000000000001</v>
      </c>
      <c r="R17" s="92">
        <v>0.19800000000000001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19"/>
      <c r="J18" s="89"/>
      <c r="K18" s="89"/>
      <c r="L18" s="89"/>
      <c r="M18" s="89"/>
      <c r="N18" s="89"/>
      <c r="O18" s="89"/>
      <c r="P18" s="89"/>
      <c r="Q18" s="89"/>
      <c r="R18" s="89"/>
    </row>
    <row r="19" spans="1:18" s="51" customFormat="1" x14ac:dyDescent="0.25">
      <c r="A19" s="1"/>
      <c r="B19" s="1" t="s">
        <v>39</v>
      </c>
      <c r="C19" s="11">
        <f>'Raw IS'!G6</f>
        <v>1410</v>
      </c>
      <c r="D19" s="11">
        <f>'Raw IS'!H6</f>
        <v>1537.1</v>
      </c>
      <c r="E19" s="11">
        <f>'Raw IS'!I6</f>
        <v>1713.1</v>
      </c>
      <c r="F19" s="11">
        <f>'Raw IS'!B6</f>
        <v>2030.9</v>
      </c>
      <c r="G19" s="11">
        <f>'Raw IS'!C6</f>
        <v>2149.5</v>
      </c>
      <c r="H19" s="11">
        <f>'Raw IS'!D6</f>
        <v>2951.4</v>
      </c>
      <c r="I19" s="19">
        <f t="shared" ref="I19:R19" si="15">I20*I11</f>
        <v>2935.3240000000001</v>
      </c>
      <c r="J19" s="89">
        <f t="shared" si="15"/>
        <v>2974.35</v>
      </c>
      <c r="K19" s="89">
        <f t="shared" si="15"/>
        <v>3043.08</v>
      </c>
      <c r="L19" s="89">
        <f t="shared" si="15"/>
        <v>3062.0992500000002</v>
      </c>
      <c r="M19" s="89">
        <f t="shared" si="15"/>
        <v>3075.4127250000001</v>
      </c>
      <c r="N19" s="89">
        <f t="shared" si="15"/>
        <v>3082.402299375</v>
      </c>
      <c r="O19" s="89">
        <f t="shared" si="15"/>
        <v>3236.5224143437504</v>
      </c>
      <c r="P19" s="89">
        <f t="shared" si="15"/>
        <v>3398.348535060938</v>
      </c>
      <c r="Q19" s="89">
        <f t="shared" si="15"/>
        <v>3568.2659618139855</v>
      </c>
      <c r="R19" s="89">
        <f t="shared" si="15"/>
        <v>3746.6792599046848</v>
      </c>
    </row>
    <row r="20" spans="1:18" s="51" customFormat="1" x14ac:dyDescent="0.25">
      <c r="A20" s="1"/>
      <c r="B20" s="75" t="s">
        <v>16</v>
      </c>
      <c r="C20" s="76">
        <f t="shared" ref="C20:H20" si="16">C19/C11</f>
        <v>9.5058956778512629E-2</v>
      </c>
      <c r="D20" s="76">
        <f t="shared" si="16"/>
        <v>9.4646100797389235E-2</v>
      </c>
      <c r="E20" s="76">
        <f t="shared" si="16"/>
        <v>9.5001220026175101E-2</v>
      </c>
      <c r="F20" s="76">
        <f t="shared" si="16"/>
        <v>0.10997157167997834</v>
      </c>
      <c r="G20" s="76">
        <f t="shared" si="16"/>
        <v>0.10323810804580036</v>
      </c>
      <c r="H20" s="76">
        <f t="shared" si="16"/>
        <v>0.12427627617511695</v>
      </c>
      <c r="I20" s="77">
        <v>0.13270000000000001</v>
      </c>
      <c r="J20" s="78">
        <v>0.1255</v>
      </c>
      <c r="K20" s="78">
        <v>0.12</v>
      </c>
      <c r="L20" s="78">
        <v>0.115</v>
      </c>
      <c r="M20" s="78">
        <v>0.11</v>
      </c>
      <c r="N20" s="78">
        <v>0.105</v>
      </c>
      <c r="O20" s="78">
        <v>0.105</v>
      </c>
      <c r="P20" s="78">
        <v>0.105</v>
      </c>
      <c r="Q20" s="78">
        <v>0.105</v>
      </c>
      <c r="R20" s="78">
        <v>0.105</v>
      </c>
    </row>
    <row r="21" spans="1:18" s="51" customFormat="1" x14ac:dyDescent="0.25">
      <c r="A21" s="1"/>
      <c r="B21" s="1"/>
      <c r="C21" s="11"/>
      <c r="D21" s="11"/>
      <c r="E21" s="11"/>
      <c r="F21" s="11"/>
      <c r="G21" s="11"/>
      <c r="H21" s="11"/>
      <c r="I21" s="37"/>
      <c r="J21" s="93"/>
      <c r="K21" s="93"/>
      <c r="L21" s="93"/>
      <c r="M21" s="93"/>
      <c r="N21" s="93"/>
      <c r="O21" s="93"/>
      <c r="P21" s="93"/>
      <c r="Q21" s="93"/>
      <c r="R21" s="93"/>
    </row>
    <row r="22" spans="1:18" s="51" customFormat="1" x14ac:dyDescent="0.25">
      <c r="A22" s="1"/>
      <c r="B22" s="1" t="s">
        <v>12</v>
      </c>
      <c r="C22" s="11">
        <f>C19+'Raw IS'!G7</f>
        <v>1583.7</v>
      </c>
      <c r="D22" s="11">
        <f>D19+'Raw IS'!H7</f>
        <v>1719.6</v>
      </c>
      <c r="E22" s="11">
        <f>E19+'Raw IS'!I7</f>
        <v>1906.3</v>
      </c>
      <c r="F22" s="11">
        <f>F19</f>
        <v>2030.9</v>
      </c>
      <c r="G22" s="11">
        <f t="shared" ref="G22:R22" si="17">G19</f>
        <v>2149.5</v>
      </c>
      <c r="H22" s="11">
        <f t="shared" si="17"/>
        <v>2951.4</v>
      </c>
      <c r="I22" s="37">
        <f t="shared" si="17"/>
        <v>2935.3240000000001</v>
      </c>
      <c r="J22" s="93">
        <f t="shared" si="17"/>
        <v>2974.35</v>
      </c>
      <c r="K22" s="93">
        <f t="shared" si="17"/>
        <v>3043.08</v>
      </c>
      <c r="L22" s="93">
        <f t="shared" si="17"/>
        <v>3062.0992500000002</v>
      </c>
      <c r="M22" s="93">
        <f t="shared" si="17"/>
        <v>3075.4127250000001</v>
      </c>
      <c r="N22" s="93">
        <f t="shared" si="17"/>
        <v>3082.402299375</v>
      </c>
      <c r="O22" s="93">
        <f t="shared" si="17"/>
        <v>3236.5224143437504</v>
      </c>
      <c r="P22" s="93">
        <f t="shared" si="17"/>
        <v>3398.348535060938</v>
      </c>
      <c r="Q22" s="93">
        <f t="shared" si="17"/>
        <v>3568.2659618139855</v>
      </c>
      <c r="R22" s="93">
        <f t="shared" si="17"/>
        <v>3746.6792599046848</v>
      </c>
    </row>
    <row r="23" spans="1:18" s="51" customFormat="1" x14ac:dyDescent="0.25">
      <c r="A23" s="1"/>
      <c r="B23" s="1"/>
      <c r="C23" s="14"/>
      <c r="D23" s="14"/>
      <c r="E23" s="14"/>
      <c r="F23" s="14"/>
      <c r="G23" s="14"/>
      <c r="H23" s="14"/>
      <c r="I23" s="86"/>
      <c r="J23" s="87"/>
      <c r="K23" s="87"/>
      <c r="L23" s="87"/>
      <c r="M23" s="87"/>
      <c r="N23" s="87"/>
      <c r="O23" s="87"/>
      <c r="P23" s="87"/>
      <c r="Q23" s="87"/>
      <c r="R23" s="87"/>
    </row>
    <row r="24" spans="1:18" s="51" customFormat="1" x14ac:dyDescent="0.25">
      <c r="A24" s="1"/>
      <c r="B24" s="1" t="s">
        <v>13</v>
      </c>
      <c r="C24" s="11">
        <f>C16-C22</f>
        <v>866.49999999999886</v>
      </c>
      <c r="D24" s="11">
        <f t="shared" ref="D24:H24" si="18">D16-D22</f>
        <v>987.29999999999973</v>
      </c>
      <c r="E24" s="11">
        <f t="shared" si="18"/>
        <v>1133.6000000000015</v>
      </c>
      <c r="F24" s="11">
        <f t="shared" si="18"/>
        <v>1179.2000000000003</v>
      </c>
      <c r="G24" s="11">
        <f t="shared" si="18"/>
        <v>1419</v>
      </c>
      <c r="H24" s="11">
        <f t="shared" si="18"/>
        <v>1735.2000000000021</v>
      </c>
      <c r="I24" s="37">
        <f>I16-I22</f>
        <v>1643.5160000000001</v>
      </c>
      <c r="J24" s="93">
        <f t="shared" ref="J24:R24" si="19">J16-J22</f>
        <v>1803.5700000000002</v>
      </c>
      <c r="K24" s="93">
        <f t="shared" si="19"/>
        <v>1978.0020000000004</v>
      </c>
      <c r="L24" s="93">
        <f t="shared" si="19"/>
        <v>2210.0368500000004</v>
      </c>
      <c r="M24" s="93">
        <f t="shared" si="19"/>
        <v>2460.3301799999999</v>
      </c>
      <c r="N24" s="93">
        <f t="shared" si="19"/>
        <v>2730.1277508750004</v>
      </c>
      <c r="O24" s="93">
        <f t="shared" si="19"/>
        <v>2866.6341384187504</v>
      </c>
      <c r="P24" s="93">
        <f t="shared" si="19"/>
        <v>3009.9658453396887</v>
      </c>
      <c r="Q24" s="93">
        <f t="shared" si="19"/>
        <v>3160.4641376066734</v>
      </c>
      <c r="R24" s="93">
        <f t="shared" si="19"/>
        <v>3318.4873444870072</v>
      </c>
    </row>
    <row r="25" spans="1:18" s="51" customFormat="1" x14ac:dyDescent="0.25">
      <c r="A25" s="1"/>
      <c r="B25" s="1" t="s">
        <v>61</v>
      </c>
      <c r="C25" s="84">
        <f>'Raw IS'!G9+'Raw IS'!G10</f>
        <v>-205.8</v>
      </c>
      <c r="D25" s="84">
        <f>'Raw IS'!H9+'Raw IS'!H10</f>
        <v>-146.79999999999998</v>
      </c>
      <c r="E25" s="84">
        <f>'Raw IS'!I9+'Raw IS'!I10</f>
        <v>-183.9</v>
      </c>
      <c r="F25" s="84">
        <f>'Raw IS'!B8+'Raw IS'!B9</f>
        <v>-176.9</v>
      </c>
      <c r="G25" s="84">
        <f>'Raw IS'!C8+'Raw IS'!C9</f>
        <v>-121.2</v>
      </c>
      <c r="H25" s="84">
        <f>'Raw IS'!D8+'Raw IS'!D9</f>
        <v>-247.39999999999998</v>
      </c>
      <c r="I25" s="19">
        <f t="shared" ref="I25:R25" si="20">I26*I11</f>
        <v>-221.20000000000002</v>
      </c>
      <c r="J25" s="89">
        <f t="shared" si="20"/>
        <v>-237</v>
      </c>
      <c r="K25" s="89">
        <f t="shared" si="20"/>
        <v>-253.59</v>
      </c>
      <c r="L25" s="89">
        <f t="shared" si="20"/>
        <v>-266.26949999999999</v>
      </c>
      <c r="M25" s="89">
        <f t="shared" si="20"/>
        <v>-279.58297500000003</v>
      </c>
      <c r="N25" s="89">
        <f t="shared" si="20"/>
        <v>-293.56212375000001</v>
      </c>
      <c r="O25" s="89">
        <f t="shared" si="20"/>
        <v>-308.24022993750003</v>
      </c>
      <c r="P25" s="89">
        <f t="shared" si="20"/>
        <v>-323.65224143437507</v>
      </c>
      <c r="Q25" s="89">
        <f t="shared" si="20"/>
        <v>-339.83485350609385</v>
      </c>
      <c r="R25" s="89">
        <f t="shared" si="20"/>
        <v>-356.82659618139854</v>
      </c>
    </row>
    <row r="26" spans="1:18" s="51" customFormat="1" x14ac:dyDescent="0.25">
      <c r="A26" s="1"/>
      <c r="B26" s="75" t="s">
        <v>16</v>
      </c>
      <c r="C26" s="76">
        <f t="shared" ref="C26:H26" si="21">C25/C11</f>
        <v>-1.387456262767227E-2</v>
      </c>
      <c r="D26" s="76">
        <f t="shared" si="21"/>
        <v>-9.0391305686401274E-3</v>
      </c>
      <c r="E26" s="76">
        <f t="shared" si="21"/>
        <v>-1.0198309709190124E-2</v>
      </c>
      <c r="F26" s="76">
        <f t="shared" si="21"/>
        <v>-9.5789901177744698E-3</v>
      </c>
      <c r="G26" s="76">
        <f t="shared" si="21"/>
        <v>-5.8211019749481287E-3</v>
      </c>
      <c r="H26" s="76">
        <f t="shared" si="21"/>
        <v>-1.0417412321516545E-2</v>
      </c>
      <c r="I26" s="79">
        <v>-0.01</v>
      </c>
      <c r="J26" s="94">
        <v>-0.01</v>
      </c>
      <c r="K26" s="94">
        <v>-0.01</v>
      </c>
      <c r="L26" s="94">
        <v>-0.01</v>
      </c>
      <c r="M26" s="94">
        <v>-0.01</v>
      </c>
      <c r="N26" s="94">
        <v>-0.01</v>
      </c>
      <c r="O26" s="94">
        <v>-0.01</v>
      </c>
      <c r="P26" s="94">
        <v>-0.01</v>
      </c>
      <c r="Q26" s="94">
        <v>-0.01</v>
      </c>
      <c r="R26" s="94">
        <v>-0.01</v>
      </c>
    </row>
    <row r="27" spans="1:18" s="51" customFormat="1" x14ac:dyDescent="0.25">
      <c r="A27" s="1"/>
      <c r="B27" s="1"/>
      <c r="C27" s="70"/>
      <c r="D27" s="70"/>
      <c r="E27" s="70"/>
      <c r="F27" s="70"/>
      <c r="G27" s="70"/>
      <c r="H27" s="70"/>
      <c r="I27" s="12"/>
      <c r="J27" s="90"/>
      <c r="K27" s="90"/>
      <c r="L27" s="90"/>
      <c r="M27" s="90"/>
      <c r="N27" s="90"/>
      <c r="O27" s="90"/>
      <c r="P27" s="90"/>
      <c r="Q27" s="90"/>
      <c r="R27" s="90"/>
    </row>
    <row r="28" spans="1:18" s="51" customFormat="1" x14ac:dyDescent="0.25">
      <c r="A28" s="1"/>
      <c r="B28" s="1" t="s">
        <v>14</v>
      </c>
      <c r="C28" s="11">
        <f>C24+C25</f>
        <v>660.69999999999891</v>
      </c>
      <c r="D28" s="11">
        <f t="shared" ref="D28:R28" si="22">D24+D25</f>
        <v>840.49999999999977</v>
      </c>
      <c r="E28" s="11">
        <f t="shared" si="22"/>
        <v>949.70000000000152</v>
      </c>
      <c r="F28" s="11">
        <f t="shared" si="22"/>
        <v>1002.3000000000003</v>
      </c>
      <c r="G28" s="11">
        <f t="shared" si="22"/>
        <v>1297.8</v>
      </c>
      <c r="H28" s="11">
        <f t="shared" si="22"/>
        <v>1487.800000000002</v>
      </c>
      <c r="I28" s="37">
        <f t="shared" si="22"/>
        <v>1422.316</v>
      </c>
      <c r="J28" s="93">
        <f t="shared" si="22"/>
        <v>1566.5700000000002</v>
      </c>
      <c r="K28" s="93">
        <f t="shared" si="22"/>
        <v>1724.4120000000005</v>
      </c>
      <c r="L28" s="93">
        <f t="shared" si="22"/>
        <v>1943.7673500000005</v>
      </c>
      <c r="M28" s="93">
        <f t="shared" si="22"/>
        <v>2180.7472049999997</v>
      </c>
      <c r="N28" s="93">
        <f t="shared" si="22"/>
        <v>2436.5656271250004</v>
      </c>
      <c r="O28" s="93">
        <f t="shared" si="22"/>
        <v>2558.3939084812505</v>
      </c>
      <c r="P28" s="93">
        <f t="shared" si="22"/>
        <v>2686.3136039053138</v>
      </c>
      <c r="Q28" s="93">
        <f t="shared" si="22"/>
        <v>2820.6292841005798</v>
      </c>
      <c r="R28" s="93">
        <f t="shared" si="22"/>
        <v>2961.6607483056086</v>
      </c>
    </row>
    <row r="29" spans="1:18" s="51" customFormat="1" x14ac:dyDescent="0.25">
      <c r="A29" s="1"/>
      <c r="B29" s="1"/>
      <c r="C29" s="20"/>
      <c r="D29" s="20"/>
      <c r="E29" s="20"/>
      <c r="F29" s="20"/>
      <c r="G29" s="20"/>
      <c r="H29" s="70"/>
      <c r="I29" s="12"/>
      <c r="J29" s="90"/>
      <c r="K29" s="90"/>
      <c r="L29" s="90"/>
      <c r="M29" s="90"/>
      <c r="N29" s="90"/>
      <c r="O29" s="90"/>
      <c r="P29" s="90"/>
      <c r="Q29" s="90"/>
      <c r="R29" s="90"/>
    </row>
    <row r="30" spans="1:18" s="51" customFormat="1" x14ac:dyDescent="0.25">
      <c r="A30" s="1"/>
      <c r="B30" s="1" t="s">
        <v>15</v>
      </c>
      <c r="C30" s="11">
        <f t="shared" ref="C30:R30" si="23">C24</f>
        <v>866.49999999999886</v>
      </c>
      <c r="D30" s="11">
        <f t="shared" si="23"/>
        <v>987.29999999999973</v>
      </c>
      <c r="E30" s="11">
        <f t="shared" si="23"/>
        <v>1133.6000000000015</v>
      </c>
      <c r="F30" s="11">
        <f t="shared" si="23"/>
        <v>1179.2000000000003</v>
      </c>
      <c r="G30" s="11">
        <f t="shared" si="23"/>
        <v>1419</v>
      </c>
      <c r="H30" s="11">
        <f t="shared" si="23"/>
        <v>1735.2000000000021</v>
      </c>
      <c r="I30" s="37">
        <f t="shared" si="23"/>
        <v>1643.5160000000001</v>
      </c>
      <c r="J30" s="93">
        <f t="shared" si="23"/>
        <v>1803.5700000000002</v>
      </c>
      <c r="K30" s="93">
        <f t="shared" si="23"/>
        <v>1978.0020000000004</v>
      </c>
      <c r="L30" s="93">
        <f t="shared" si="23"/>
        <v>2210.0368500000004</v>
      </c>
      <c r="M30" s="93">
        <f t="shared" si="23"/>
        <v>2460.3301799999999</v>
      </c>
      <c r="N30" s="93">
        <f t="shared" si="23"/>
        <v>2730.1277508750004</v>
      </c>
      <c r="O30" s="93">
        <f t="shared" si="23"/>
        <v>2866.6341384187504</v>
      </c>
      <c r="P30" s="93">
        <f t="shared" si="23"/>
        <v>3009.9658453396887</v>
      </c>
      <c r="Q30" s="93">
        <f t="shared" si="23"/>
        <v>3160.4641376066734</v>
      </c>
      <c r="R30" s="93">
        <f t="shared" si="23"/>
        <v>3318.4873444870072</v>
      </c>
    </row>
    <row r="31" spans="1:18" s="51" customFormat="1" x14ac:dyDescent="0.25">
      <c r="A31" s="1"/>
      <c r="B31" s="75" t="s">
        <v>16</v>
      </c>
      <c r="C31" s="76">
        <f t="shared" ref="C31:R31" si="24">C30/C11</f>
        <v>5.8417436913887295E-2</v>
      </c>
      <c r="D31" s="76">
        <f t="shared" si="24"/>
        <v>6.0792463286228858E-2</v>
      </c>
      <c r="E31" s="76">
        <f t="shared" si="24"/>
        <v>6.2864621459151379E-2</v>
      </c>
      <c r="F31" s="76">
        <f t="shared" si="24"/>
        <v>6.3852714227697324E-2</v>
      </c>
      <c r="G31" s="76">
        <f t="shared" si="24"/>
        <v>6.8153000845308537E-2</v>
      </c>
      <c r="H31" s="76">
        <f t="shared" si="24"/>
        <v>7.3065051981792778E-2</v>
      </c>
      <c r="I31" s="77">
        <f t="shared" si="24"/>
        <v>7.4300000000000005E-2</v>
      </c>
      <c r="J31" s="78">
        <f t="shared" si="24"/>
        <v>7.6100000000000001E-2</v>
      </c>
      <c r="K31" s="78">
        <f t="shared" si="24"/>
        <v>7.8000000000000014E-2</v>
      </c>
      <c r="L31" s="78">
        <f t="shared" si="24"/>
        <v>8.3000000000000018E-2</v>
      </c>
      <c r="M31" s="78">
        <f t="shared" si="24"/>
        <v>8.7999999999999995E-2</v>
      </c>
      <c r="N31" s="78">
        <f t="shared" si="24"/>
        <v>9.2999999999999999E-2</v>
      </c>
      <c r="O31" s="78">
        <f t="shared" si="24"/>
        <v>9.2999999999999999E-2</v>
      </c>
      <c r="P31" s="78">
        <f t="shared" si="24"/>
        <v>9.3000000000000013E-2</v>
      </c>
      <c r="Q31" s="78">
        <f t="shared" si="24"/>
        <v>9.3000000000000013E-2</v>
      </c>
      <c r="R31" s="78">
        <f t="shared" si="24"/>
        <v>9.3000000000000013E-2</v>
      </c>
    </row>
    <row r="32" spans="1:18" s="51" customFormat="1" x14ac:dyDescent="0.25">
      <c r="A32" s="1"/>
      <c r="B32" s="13"/>
      <c r="C32" s="1"/>
      <c r="D32" s="1"/>
      <c r="E32" s="2"/>
      <c r="F32" s="1"/>
      <c r="G32" s="1"/>
      <c r="H32" s="1"/>
      <c r="I32" s="12"/>
      <c r="J32" s="90"/>
      <c r="K32" s="90"/>
      <c r="L32" s="90"/>
      <c r="M32" s="90"/>
      <c r="N32" s="90"/>
      <c r="O32" s="90"/>
      <c r="P32" s="90"/>
      <c r="Q32" s="90"/>
      <c r="R32" s="90"/>
    </row>
    <row r="33" spans="1:86" s="51" customFormat="1" x14ac:dyDescent="0.25">
      <c r="A33" s="1"/>
      <c r="B33" s="1" t="s">
        <v>17</v>
      </c>
      <c r="C33" s="11">
        <f>'Raw IS'!G12</f>
        <v>-137.6</v>
      </c>
      <c r="D33" s="11">
        <f>'Raw IS'!H12</f>
        <v>-197.5</v>
      </c>
      <c r="E33" s="11">
        <f>'Raw IS'!I12</f>
        <v>-212.9</v>
      </c>
      <c r="F33" s="11">
        <f>'Raw IS'!B11</f>
        <v>-213.8</v>
      </c>
      <c r="G33" s="11">
        <f>'Raw IS'!C11</f>
        <v>-309.2</v>
      </c>
      <c r="H33" s="11">
        <f>'Raw IS'!D11</f>
        <v>-373.3</v>
      </c>
      <c r="I33" s="19">
        <f>I30*I34</f>
        <v>-345.13835999999998</v>
      </c>
      <c r="J33" s="89">
        <f t="shared" ref="J33:R33" si="25">J30*J34</f>
        <v>-378.74970000000002</v>
      </c>
      <c r="K33" s="89">
        <f t="shared" si="25"/>
        <v>-415.38042000000007</v>
      </c>
      <c r="L33" s="89">
        <f t="shared" si="25"/>
        <v>-464.1077385000001</v>
      </c>
      <c r="M33" s="89">
        <f t="shared" si="25"/>
        <v>-516.66933779999999</v>
      </c>
      <c r="N33" s="89">
        <f t="shared" si="25"/>
        <v>-573.32682768375003</v>
      </c>
      <c r="O33" s="89">
        <f t="shared" si="25"/>
        <v>-601.99316906793752</v>
      </c>
      <c r="P33" s="89">
        <f t="shared" si="25"/>
        <v>-632.09282752133458</v>
      </c>
      <c r="Q33" s="89">
        <f t="shared" si="25"/>
        <v>-663.69746889740134</v>
      </c>
      <c r="R33" s="89">
        <f t="shared" si="25"/>
        <v>-696.8823423422715</v>
      </c>
    </row>
    <row r="34" spans="1:86" s="51" customFormat="1" x14ac:dyDescent="0.25">
      <c r="A34" s="1"/>
      <c r="B34" s="75" t="s">
        <v>18</v>
      </c>
      <c r="C34" s="80">
        <f>C33/C30</f>
        <v>-0.15879976918638219</v>
      </c>
      <c r="D34" s="80">
        <f t="shared" ref="D34:H34" si="26">D33/D30</f>
        <v>-0.20004051453458935</v>
      </c>
      <c r="E34" s="80">
        <f t="shared" si="26"/>
        <v>-0.18780875088214513</v>
      </c>
      <c r="F34" s="80">
        <f t="shared" si="26"/>
        <v>-0.1813093622795115</v>
      </c>
      <c r="G34" s="80">
        <f t="shared" si="26"/>
        <v>-0.21789992952783649</v>
      </c>
      <c r="H34" s="80">
        <f t="shared" si="26"/>
        <v>-0.21513370216689692</v>
      </c>
      <c r="I34" s="81">
        <v>-0.21</v>
      </c>
      <c r="J34" s="92">
        <v>-0.21</v>
      </c>
      <c r="K34" s="92">
        <v>-0.21</v>
      </c>
      <c r="L34" s="92">
        <v>-0.21</v>
      </c>
      <c r="M34" s="92">
        <v>-0.21</v>
      </c>
      <c r="N34" s="92">
        <v>-0.21</v>
      </c>
      <c r="O34" s="92">
        <v>-0.21</v>
      </c>
      <c r="P34" s="92">
        <v>-0.21</v>
      </c>
      <c r="Q34" s="92">
        <v>-0.21</v>
      </c>
      <c r="R34" s="92">
        <v>-0.21</v>
      </c>
    </row>
    <row r="35" spans="1:86" s="51" customFormat="1" x14ac:dyDescent="0.25">
      <c r="A35" s="1"/>
      <c r="B35" s="1"/>
      <c r="C35" s="1"/>
      <c r="D35" s="1"/>
      <c r="E35" s="1"/>
      <c r="F35" s="1"/>
      <c r="G35" s="1"/>
      <c r="H35" s="1"/>
      <c r="I35" s="12"/>
      <c r="J35" s="90"/>
      <c r="K35" s="90"/>
      <c r="L35" s="90"/>
      <c r="M35" s="90"/>
      <c r="N35" s="90"/>
      <c r="O35" s="90"/>
      <c r="P35" s="90"/>
      <c r="Q35" s="90"/>
      <c r="R35" s="90"/>
    </row>
    <row r="36" spans="1:86" s="51" customFormat="1" x14ac:dyDescent="0.25">
      <c r="A36" s="1"/>
      <c r="B36" s="9" t="s">
        <v>19</v>
      </c>
      <c r="C36" s="9">
        <v>2017</v>
      </c>
      <c r="D36" s="9">
        <v>2018</v>
      </c>
      <c r="E36" s="10">
        <v>2019</v>
      </c>
      <c r="F36" s="9">
        <v>2020</v>
      </c>
      <c r="G36" s="9">
        <v>2021</v>
      </c>
      <c r="H36" s="9">
        <v>2022</v>
      </c>
      <c r="I36" s="64">
        <v>2023</v>
      </c>
      <c r="J36" s="95">
        <v>2024</v>
      </c>
      <c r="K36" s="95">
        <v>2025</v>
      </c>
      <c r="L36" s="95">
        <v>2026</v>
      </c>
      <c r="M36" s="95">
        <v>2027</v>
      </c>
      <c r="N36" s="95">
        <v>2028</v>
      </c>
      <c r="O36" s="95">
        <v>2029</v>
      </c>
      <c r="P36" s="95">
        <v>2030</v>
      </c>
      <c r="Q36" s="95">
        <v>2031</v>
      </c>
      <c r="R36" s="95">
        <v>2032</v>
      </c>
      <c r="S36" s="9">
        <v>2033</v>
      </c>
      <c r="T36" s="9">
        <v>2034</v>
      </c>
      <c r="U36" s="9">
        <v>2035</v>
      </c>
      <c r="V36" s="9">
        <v>2036</v>
      </c>
      <c r="W36" s="9">
        <v>2037</v>
      </c>
      <c r="X36" s="9">
        <v>2038</v>
      </c>
      <c r="Y36" s="9">
        <v>2039</v>
      </c>
      <c r="Z36" s="9">
        <v>2040</v>
      </c>
      <c r="AA36" s="9">
        <v>2041</v>
      </c>
      <c r="AB36" s="9">
        <v>2042</v>
      </c>
      <c r="AC36" s="9">
        <v>2043</v>
      </c>
      <c r="AD36" s="9">
        <v>2044</v>
      </c>
      <c r="AE36" s="9">
        <v>2045</v>
      </c>
      <c r="AF36" s="9">
        <v>2046</v>
      </c>
      <c r="AG36" s="9">
        <v>2047</v>
      </c>
      <c r="AH36" s="9">
        <v>2048</v>
      </c>
      <c r="AI36" s="9">
        <v>2049</v>
      </c>
      <c r="AJ36" s="9">
        <v>2050</v>
      </c>
      <c r="AK36" s="9">
        <v>2051</v>
      </c>
      <c r="AL36" s="9">
        <v>2052</v>
      </c>
      <c r="AM36" s="9">
        <v>2053</v>
      </c>
      <c r="AN36" s="9">
        <v>2054</v>
      </c>
      <c r="AO36" s="9">
        <v>2055</v>
      </c>
      <c r="AP36" s="9">
        <v>2056</v>
      </c>
      <c r="AQ36" s="9">
        <v>2057</v>
      </c>
      <c r="AR36" s="9">
        <v>2058</v>
      </c>
      <c r="AS36" s="9">
        <v>2059</v>
      </c>
      <c r="AT36" s="9">
        <v>2060</v>
      </c>
      <c r="AU36" s="9">
        <v>2061</v>
      </c>
      <c r="AV36" s="9">
        <v>2062</v>
      </c>
      <c r="AW36" s="9">
        <v>2063</v>
      </c>
      <c r="AX36" s="9">
        <v>2064</v>
      </c>
      <c r="AY36" s="9">
        <v>2065</v>
      </c>
      <c r="AZ36" s="9">
        <v>2066</v>
      </c>
      <c r="BA36" s="9">
        <v>2067</v>
      </c>
      <c r="BB36" s="9">
        <v>2068</v>
      </c>
      <c r="BC36" s="9">
        <v>2069</v>
      </c>
      <c r="BD36" s="9">
        <v>2070</v>
      </c>
      <c r="BE36" s="9">
        <v>2071</v>
      </c>
      <c r="BF36" s="9">
        <v>2072</v>
      </c>
      <c r="BG36" s="9">
        <v>2073</v>
      </c>
      <c r="BH36" s="9">
        <v>2074</v>
      </c>
      <c r="BI36" s="9">
        <v>2075</v>
      </c>
      <c r="BJ36" s="9">
        <v>2076</v>
      </c>
      <c r="BK36" s="9">
        <v>2077</v>
      </c>
      <c r="BL36" s="9">
        <v>2078</v>
      </c>
      <c r="BM36" s="9">
        <v>2079</v>
      </c>
      <c r="BN36" s="9">
        <v>2080</v>
      </c>
      <c r="BO36" s="9">
        <v>2081</v>
      </c>
      <c r="BP36" s="9">
        <v>2082</v>
      </c>
      <c r="BQ36" s="9">
        <v>2083</v>
      </c>
      <c r="BR36" s="9">
        <v>2084</v>
      </c>
      <c r="BS36" s="9">
        <v>2085</v>
      </c>
      <c r="BT36" s="9">
        <v>2086</v>
      </c>
      <c r="BU36" s="9">
        <v>2087</v>
      </c>
      <c r="BV36" s="9">
        <v>2088</v>
      </c>
      <c r="BW36" s="9">
        <v>2089</v>
      </c>
      <c r="BX36" s="9">
        <v>2090</v>
      </c>
      <c r="BY36" s="9">
        <v>2091</v>
      </c>
      <c r="BZ36" s="9">
        <v>2092</v>
      </c>
      <c r="CA36" s="9">
        <v>2093</v>
      </c>
      <c r="CB36" s="9">
        <v>2094</v>
      </c>
      <c r="CC36" s="9">
        <v>2095</v>
      </c>
      <c r="CD36" s="9">
        <v>2096</v>
      </c>
      <c r="CE36" s="9">
        <v>2097</v>
      </c>
      <c r="CF36" s="9">
        <v>2098</v>
      </c>
      <c r="CG36" s="9">
        <v>2099</v>
      </c>
      <c r="CH36" s="9">
        <v>2100</v>
      </c>
    </row>
    <row r="37" spans="1:86" s="51" customFormat="1" x14ac:dyDescent="0.25">
      <c r="A37" s="1"/>
      <c r="B37" s="1" t="s">
        <v>20</v>
      </c>
      <c r="C37" s="11">
        <f>'Raw CF'!G7</f>
        <v>260.89999999999998</v>
      </c>
      <c r="D37" s="11">
        <f>'Raw CF'!H7</f>
        <v>265.60000000000002</v>
      </c>
      <c r="E37" s="11">
        <f>'Raw CF'!I7</f>
        <v>267.10000000000002</v>
      </c>
      <c r="F37" s="11">
        <f>'Raw CF'!B7</f>
        <v>425.6</v>
      </c>
      <c r="G37" s="11">
        <f>'Raw CF'!C7</f>
        <v>191.2</v>
      </c>
      <c r="H37" s="11">
        <f>'Raw CF'!D7</f>
        <v>290.60000000000002</v>
      </c>
      <c r="I37" s="19">
        <f t="shared" ref="I37" si="27">I38*I11</f>
        <v>320.8</v>
      </c>
      <c r="J37" s="89">
        <f t="shared" ref="J37" si="28">J38*J11</f>
        <v>262.35000000000002</v>
      </c>
      <c r="K37" s="89">
        <f t="shared" ref="K37" si="29">K38*K11</f>
        <v>138.59047619047621</v>
      </c>
      <c r="L37" s="89">
        <f t="shared" ref="I37:R37" si="30">L38*L11</f>
        <v>133.13475</v>
      </c>
      <c r="M37" s="89">
        <f t="shared" si="30"/>
        <v>139.79148750000002</v>
      </c>
      <c r="N37" s="89">
        <f t="shared" si="30"/>
        <v>146.78106187500001</v>
      </c>
      <c r="O37" s="89">
        <f t="shared" si="30"/>
        <v>154.12011496875002</v>
      </c>
      <c r="P37" s="89">
        <f t="shared" si="30"/>
        <v>161.82612071718754</v>
      </c>
      <c r="Q37" s="89">
        <f t="shared" si="30"/>
        <v>169.91742675304693</v>
      </c>
      <c r="R37" s="89">
        <f t="shared" si="30"/>
        <v>178.41329809069927</v>
      </c>
    </row>
    <row r="38" spans="1:86" s="51" customFormat="1" x14ac:dyDescent="0.25">
      <c r="A38" s="1"/>
      <c r="B38" s="75" t="s">
        <v>16</v>
      </c>
      <c r="C38" s="76">
        <f t="shared" ref="C38:H38" si="31">C37/C11</f>
        <v>1.7589277889016982E-2</v>
      </c>
      <c r="D38" s="76">
        <f t="shared" si="31"/>
        <v>1.6354176287675874E-2</v>
      </c>
      <c r="E38" s="76">
        <f t="shared" si="31"/>
        <v>1.4812226880503982E-2</v>
      </c>
      <c r="F38" s="76">
        <f t="shared" si="31"/>
        <v>2.3045891430892109E-2</v>
      </c>
      <c r="G38" s="76">
        <f t="shared" si="31"/>
        <v>9.1831245677399514E-3</v>
      </c>
      <c r="H38" s="76">
        <f t="shared" si="31"/>
        <v>1.2236459258822588E-2</v>
      </c>
      <c r="I38" s="77">
        <v>1.4502712477396023E-2</v>
      </c>
      <c r="J38" s="78">
        <v>1.1069620253164558E-2</v>
      </c>
      <c r="K38" s="78">
        <v>5.4651396423548325E-3</v>
      </c>
      <c r="L38" s="78">
        <v>5.0000000000000001E-3</v>
      </c>
      <c r="M38" s="78">
        <v>5.0000000000000001E-3</v>
      </c>
      <c r="N38" s="78">
        <v>5.0000000000000001E-3</v>
      </c>
      <c r="O38" s="78">
        <v>5.0000000000000001E-3</v>
      </c>
      <c r="P38" s="78">
        <v>5.0000000000000001E-3</v>
      </c>
      <c r="Q38" s="78">
        <v>5.0000000000000001E-3</v>
      </c>
      <c r="R38" s="78">
        <v>5.0000000000000001E-3</v>
      </c>
    </row>
    <row r="39" spans="1:86" s="51" customFormat="1" x14ac:dyDescent="0.25">
      <c r="A39" s="1"/>
      <c r="B39" s="1"/>
      <c r="C39" s="1"/>
      <c r="D39" s="1"/>
      <c r="E39" s="2"/>
      <c r="F39" s="1"/>
      <c r="G39" s="1"/>
      <c r="H39" s="1"/>
      <c r="I39" s="12"/>
      <c r="J39" s="90"/>
      <c r="K39" s="90"/>
      <c r="L39" s="90"/>
      <c r="M39" s="90"/>
      <c r="N39" s="90"/>
      <c r="O39" s="90"/>
      <c r="P39" s="90"/>
      <c r="Q39" s="90"/>
      <c r="R39" s="90"/>
    </row>
    <row r="40" spans="1:86" s="51" customFormat="1" x14ac:dyDescent="0.25">
      <c r="A40" s="1"/>
      <c r="B40" s="1" t="s">
        <v>21</v>
      </c>
      <c r="C40" s="11">
        <f>'Raw CF'!G19</f>
        <v>-81.099999999999994</v>
      </c>
      <c r="D40" s="11">
        <f>'Raw CF'!H19</f>
        <v>-86.1</v>
      </c>
      <c r="E40" s="11">
        <f>'Raw CF'!I19</f>
        <v>-236.3</v>
      </c>
      <c r="F40" s="36">
        <f>'Raw CF'!B20</f>
        <v>-158</v>
      </c>
      <c r="G40" s="36">
        <f>'Raw CF'!C20</f>
        <v>-100</v>
      </c>
      <c r="H40" s="36">
        <f>'Raw CF'!D20</f>
        <v>-127.8</v>
      </c>
      <c r="I40" s="19">
        <f t="shared" ref="I40:Q40" si="32">I41*I11</f>
        <v>-147.83000000000001</v>
      </c>
      <c r="J40" s="89">
        <f t="shared" si="32"/>
        <v>-158.16999999999999</v>
      </c>
      <c r="K40" s="89">
        <f t="shared" si="32"/>
        <v>-163.04761904761907</v>
      </c>
      <c r="L40" s="89">
        <f t="shared" si="32"/>
        <v>-133.13475</v>
      </c>
      <c r="M40" s="89">
        <f t="shared" si="32"/>
        <v>-139.79148750000002</v>
      </c>
      <c r="N40" s="89">
        <f t="shared" si="32"/>
        <v>-146.78106187500001</v>
      </c>
      <c r="O40" s="89">
        <f t="shared" si="32"/>
        <v>-154.12011496875002</v>
      </c>
      <c r="P40" s="89">
        <f t="shared" si="32"/>
        <v>-161.82612071718754</v>
      </c>
      <c r="Q40" s="89">
        <f t="shared" si="32"/>
        <v>-169.91742675304693</v>
      </c>
      <c r="R40" s="89">
        <f>R41*R11</f>
        <v>-178.41329809069927</v>
      </c>
    </row>
    <row r="41" spans="1:86" s="51" customFormat="1" x14ac:dyDescent="0.25">
      <c r="A41" s="1"/>
      <c r="B41" s="75" t="s">
        <v>16</v>
      </c>
      <c r="C41" s="76">
        <f t="shared" ref="C41:H41" si="33">C40/C11</f>
        <v>-5.4675754572605486E-3</v>
      </c>
      <c r="D41" s="76">
        <f t="shared" si="33"/>
        <v>-5.3015609125334805E-3</v>
      </c>
      <c r="E41" s="76">
        <f t="shared" si="33"/>
        <v>-1.3104190235354141E-2</v>
      </c>
      <c r="F41" s="76">
        <f t="shared" si="33"/>
        <v>-8.5555705969947212E-3</v>
      </c>
      <c r="G41" s="76">
        <f t="shared" si="33"/>
        <v>-4.8028894182740338E-3</v>
      </c>
      <c r="H41" s="76">
        <f t="shared" si="33"/>
        <v>-5.3813471895303739E-3</v>
      </c>
      <c r="I41" s="77">
        <v>-6.6830922242314657E-3</v>
      </c>
      <c r="J41" s="78">
        <v>-6.6738396624472568E-3</v>
      </c>
      <c r="K41" s="78">
        <v>-6.4295760498292148E-3</v>
      </c>
      <c r="L41" s="78">
        <v>-5.0000000000000001E-3</v>
      </c>
      <c r="M41" s="78">
        <v>-5.0000000000000001E-3</v>
      </c>
      <c r="N41" s="78">
        <v>-5.0000000000000001E-3</v>
      </c>
      <c r="O41" s="78">
        <v>-5.0000000000000001E-3</v>
      </c>
      <c r="P41" s="78">
        <v>-5.0000000000000001E-3</v>
      </c>
      <c r="Q41" s="78">
        <v>-5.0000000000000001E-3</v>
      </c>
      <c r="R41" s="78">
        <v>-5.0000000000000001E-3</v>
      </c>
    </row>
    <row r="42" spans="1:86" s="51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90"/>
      <c r="K42" s="90"/>
      <c r="L42" s="90"/>
      <c r="M42" s="90"/>
      <c r="N42" s="90"/>
      <c r="O42" s="90"/>
      <c r="P42" s="90"/>
      <c r="Q42" s="90"/>
      <c r="R42" s="90"/>
    </row>
    <row r="43" spans="1:86" s="51" customFormat="1" x14ac:dyDescent="0.25">
      <c r="A43" s="1"/>
      <c r="B43" s="1" t="s">
        <v>22</v>
      </c>
      <c r="C43" s="85">
        <f>SUM('Raw CF'!G12:G16)</f>
        <v>60.300000000000011</v>
      </c>
      <c r="D43" s="85">
        <f>SUM('Raw CF'!H12:H16)</f>
        <v>1.7999999999999403</v>
      </c>
      <c r="E43" s="85">
        <f>SUM('Raw CF'!I12:I16)</f>
        <v>33.700000000000017</v>
      </c>
      <c r="F43" s="71">
        <f>SUM('Raw CF'!B13:B17)</f>
        <v>4.8999999999999986</v>
      </c>
      <c r="G43" s="71">
        <f>SUM('Raw CF'!C13:C17)</f>
        <v>-431.59999999999991</v>
      </c>
      <c r="H43" s="71">
        <f>SUM('Raw CF'!D13:D17)</f>
        <v>-166.60000000000002</v>
      </c>
      <c r="I43" s="19">
        <f t="shared" ref="I43:R43" si="34">I44*I11</f>
        <v>-66.36</v>
      </c>
      <c r="J43" s="89">
        <f t="shared" si="34"/>
        <v>23.7</v>
      </c>
      <c r="K43" s="89">
        <f t="shared" si="34"/>
        <v>25.359000000000002</v>
      </c>
      <c r="L43" s="89">
        <f t="shared" si="34"/>
        <v>26.626950000000001</v>
      </c>
      <c r="M43" s="89">
        <f t="shared" si="34"/>
        <v>27.9582975</v>
      </c>
      <c r="N43" s="89">
        <f t="shared" si="34"/>
        <v>29.356212375000002</v>
      </c>
      <c r="O43" s="89">
        <f t="shared" si="34"/>
        <v>30.824022993750006</v>
      </c>
      <c r="P43" s="89">
        <f t="shared" si="34"/>
        <v>32.365224143437509</v>
      </c>
      <c r="Q43" s="89">
        <f t="shared" si="34"/>
        <v>33.983485350609385</v>
      </c>
      <c r="R43" s="89">
        <f t="shared" si="34"/>
        <v>35.682659618139859</v>
      </c>
    </row>
    <row r="44" spans="1:86" s="51" customFormat="1" x14ac:dyDescent="0.25">
      <c r="A44" s="1"/>
      <c r="B44" s="75" t="s">
        <v>16</v>
      </c>
      <c r="C44" s="76">
        <f t="shared" ref="C44:H44" si="35">C43/C11</f>
        <v>4.0652873005278811E-3</v>
      </c>
      <c r="D44" s="76">
        <f t="shared" si="35"/>
        <v>1.1083402604599245E-4</v>
      </c>
      <c r="E44" s="76">
        <f t="shared" si="35"/>
        <v>1.8688582773230416E-3</v>
      </c>
      <c r="F44" s="76">
        <f t="shared" si="35"/>
        <v>2.6533098686882351E-4</v>
      </c>
      <c r="G44" s="76">
        <f t="shared" si="35"/>
        <v>-2.0729270729270725E-2</v>
      </c>
      <c r="H44" s="76">
        <f t="shared" si="35"/>
        <v>-7.015120827666357E-3</v>
      </c>
      <c r="I44" s="81">
        <v>-3.0000000000000001E-3</v>
      </c>
      <c r="J44" s="92">
        <v>1E-3</v>
      </c>
      <c r="K44" s="92">
        <v>1E-3</v>
      </c>
      <c r="L44" s="92">
        <v>1E-3</v>
      </c>
      <c r="M44" s="92">
        <v>1E-3</v>
      </c>
      <c r="N44" s="92">
        <v>1E-3</v>
      </c>
      <c r="O44" s="92">
        <v>1E-3</v>
      </c>
      <c r="P44" s="92">
        <v>1E-3</v>
      </c>
      <c r="Q44" s="92">
        <v>1E-3</v>
      </c>
      <c r="R44" s="92">
        <v>1E-3</v>
      </c>
    </row>
    <row r="45" spans="1:86" s="51" customFormat="1" x14ac:dyDescent="0.25">
      <c r="A45" s="1"/>
      <c r="B45" s="1"/>
      <c r="C45" s="1"/>
      <c r="D45" s="1"/>
      <c r="E45" s="1"/>
      <c r="F45" s="1"/>
      <c r="G45" s="1"/>
      <c r="H45" s="1"/>
      <c r="I45" s="12"/>
      <c r="J45" s="90"/>
      <c r="K45" s="90"/>
      <c r="L45" s="90"/>
      <c r="M45" s="90"/>
      <c r="N45" s="90"/>
      <c r="O45" s="90"/>
      <c r="P45" s="90"/>
      <c r="Q45" s="90"/>
      <c r="R45" s="90"/>
    </row>
    <row r="46" spans="1:86" s="51" customFormat="1" x14ac:dyDescent="0.25">
      <c r="A46" s="1"/>
      <c r="B46" s="9" t="s">
        <v>23</v>
      </c>
      <c r="C46" s="11">
        <f>C30+C33</f>
        <v>728.89999999999884</v>
      </c>
      <c r="D46" s="11">
        <f t="shared" ref="D46:G46" si="36">D30+D33</f>
        <v>789.79999999999973</v>
      </c>
      <c r="E46" s="11">
        <f t="shared" si="36"/>
        <v>920.70000000000152</v>
      </c>
      <c r="F46" s="11">
        <f t="shared" si="36"/>
        <v>965.40000000000032</v>
      </c>
      <c r="G46" s="11">
        <f t="shared" si="36"/>
        <v>1109.8</v>
      </c>
      <c r="H46" s="11">
        <f>H30+H33</f>
        <v>1361.9000000000021</v>
      </c>
      <c r="I46" s="37">
        <f t="shared" ref="I46:R46" si="37">I30+I33</f>
        <v>1298.3776400000002</v>
      </c>
      <c r="J46" s="93">
        <f t="shared" si="37"/>
        <v>1424.8203000000001</v>
      </c>
      <c r="K46" s="93">
        <f t="shared" si="37"/>
        <v>1562.6215800000004</v>
      </c>
      <c r="L46" s="93">
        <f t="shared" si="37"/>
        <v>1745.9291115000003</v>
      </c>
      <c r="M46" s="93">
        <f t="shared" si="37"/>
        <v>1943.6608421999999</v>
      </c>
      <c r="N46" s="93">
        <f t="shared" si="37"/>
        <v>2156.8009231912501</v>
      </c>
      <c r="O46" s="93">
        <f t="shared" si="37"/>
        <v>2264.6409693508131</v>
      </c>
      <c r="P46" s="93">
        <f t="shared" si="37"/>
        <v>2377.8730178183541</v>
      </c>
      <c r="Q46" s="93">
        <f t="shared" si="37"/>
        <v>2496.7666687092719</v>
      </c>
      <c r="R46" s="93">
        <f t="shared" si="37"/>
        <v>2621.6050021447359</v>
      </c>
    </row>
    <row r="47" spans="1:86" s="51" customFormat="1" x14ac:dyDescent="0.25">
      <c r="A47" s="1"/>
      <c r="B47" s="9" t="s">
        <v>24</v>
      </c>
      <c r="C47" s="11">
        <f>C28+C33</f>
        <v>523.09999999999889</v>
      </c>
      <c r="D47" s="11">
        <f t="shared" ref="D47:R47" si="38">D28+D33</f>
        <v>642.99999999999977</v>
      </c>
      <c r="E47" s="11">
        <f t="shared" si="38"/>
        <v>736.80000000000155</v>
      </c>
      <c r="F47" s="11">
        <f t="shared" si="38"/>
        <v>788.50000000000023</v>
      </c>
      <c r="G47" s="11">
        <f t="shared" si="38"/>
        <v>988.59999999999991</v>
      </c>
      <c r="H47" s="11">
        <f t="shared" si="38"/>
        <v>1114.500000000002</v>
      </c>
      <c r="I47" s="37">
        <f t="shared" si="38"/>
        <v>1077.1776400000001</v>
      </c>
      <c r="J47" s="93">
        <f t="shared" si="38"/>
        <v>1187.8203000000001</v>
      </c>
      <c r="K47" s="93">
        <f t="shared" si="38"/>
        <v>1309.0315800000003</v>
      </c>
      <c r="L47" s="93">
        <f t="shared" si="38"/>
        <v>1479.6596115000004</v>
      </c>
      <c r="M47" s="93">
        <f t="shared" si="38"/>
        <v>1664.0778671999997</v>
      </c>
      <c r="N47" s="93">
        <f t="shared" si="38"/>
        <v>1863.2387994412504</v>
      </c>
      <c r="O47" s="93">
        <f t="shared" si="38"/>
        <v>1956.400739413313</v>
      </c>
      <c r="P47" s="93">
        <f t="shared" si="38"/>
        <v>2054.2207763839792</v>
      </c>
      <c r="Q47" s="93">
        <f t="shared" si="38"/>
        <v>2156.9318152031783</v>
      </c>
      <c r="R47" s="93">
        <f t="shared" si="38"/>
        <v>2264.7784059633373</v>
      </c>
      <c r="S47" s="52">
        <f>R47*(1+$E$6)</f>
        <v>2332.7217581422374</v>
      </c>
      <c r="T47" s="52">
        <f t="shared" ref="T47:CE47" si="39">S47*(1+$E$6)</f>
        <v>2402.7034108865046</v>
      </c>
      <c r="U47" s="52">
        <f t="shared" si="39"/>
        <v>2474.7845132130997</v>
      </c>
      <c r="V47" s="52">
        <f t="shared" si="39"/>
        <v>2549.0280486094925</v>
      </c>
      <c r="W47" s="52">
        <f t="shared" si="39"/>
        <v>2625.4988900677772</v>
      </c>
      <c r="X47" s="52">
        <f t="shared" si="39"/>
        <v>2704.2638567698104</v>
      </c>
      <c r="Y47" s="52">
        <f t="shared" si="39"/>
        <v>2785.3917724729049</v>
      </c>
      <c r="Z47" s="52">
        <f t="shared" si="39"/>
        <v>2868.9535256470922</v>
      </c>
      <c r="AA47" s="52">
        <f t="shared" si="39"/>
        <v>2955.0221314165051</v>
      </c>
      <c r="AB47" s="52">
        <f t="shared" si="39"/>
        <v>3043.6727953590002</v>
      </c>
      <c r="AC47" s="52">
        <f t="shared" si="39"/>
        <v>3134.9829792197702</v>
      </c>
      <c r="AD47" s="52">
        <f t="shared" si="39"/>
        <v>3229.0324685963633</v>
      </c>
      <c r="AE47" s="52">
        <f t="shared" si="39"/>
        <v>3325.9034426542544</v>
      </c>
      <c r="AF47" s="52">
        <f t="shared" si="39"/>
        <v>3425.6805459338821</v>
      </c>
      <c r="AG47" s="52">
        <f t="shared" si="39"/>
        <v>3528.4509623118988</v>
      </c>
      <c r="AH47" s="52">
        <f t="shared" si="39"/>
        <v>3634.3044911812558</v>
      </c>
      <c r="AI47" s="52">
        <f t="shared" si="39"/>
        <v>3743.3336259166936</v>
      </c>
      <c r="AJ47" s="52">
        <f t="shared" si="39"/>
        <v>3855.6336346941944</v>
      </c>
      <c r="AK47" s="52">
        <f t="shared" si="39"/>
        <v>3971.3026437350204</v>
      </c>
      <c r="AL47" s="52">
        <f t="shared" si="39"/>
        <v>4090.4417230470713</v>
      </c>
      <c r="AM47" s="52">
        <f t="shared" si="39"/>
        <v>4213.1549747384834</v>
      </c>
      <c r="AN47" s="52">
        <f t="shared" si="39"/>
        <v>4339.549623980638</v>
      </c>
      <c r="AO47" s="52">
        <f t="shared" si="39"/>
        <v>4469.7361127000577</v>
      </c>
      <c r="AP47" s="52">
        <f t="shared" si="39"/>
        <v>4603.8281960810591</v>
      </c>
      <c r="AQ47" s="52">
        <f t="shared" si="39"/>
        <v>4741.9430419634909</v>
      </c>
      <c r="AR47" s="52">
        <f t="shared" si="39"/>
        <v>4884.201333222396</v>
      </c>
      <c r="AS47" s="52">
        <f t="shared" si="39"/>
        <v>5030.7273732190679</v>
      </c>
      <c r="AT47" s="52">
        <f t="shared" si="39"/>
        <v>5181.6491944156396</v>
      </c>
      <c r="AU47" s="52">
        <f t="shared" si="39"/>
        <v>5337.0986702481086</v>
      </c>
      <c r="AV47" s="52">
        <f t="shared" si="39"/>
        <v>5497.2116303555522</v>
      </c>
      <c r="AW47" s="52">
        <f t="shared" si="39"/>
        <v>5662.127979266219</v>
      </c>
      <c r="AX47" s="52">
        <f t="shared" si="39"/>
        <v>5831.9918186442055</v>
      </c>
      <c r="AY47" s="52">
        <f t="shared" si="39"/>
        <v>6006.9515732035316</v>
      </c>
      <c r="AZ47" s="52">
        <f t="shared" si="39"/>
        <v>6187.1601203996379</v>
      </c>
      <c r="BA47" s="52">
        <f t="shared" si="39"/>
        <v>6372.7749240116273</v>
      </c>
      <c r="BB47" s="52">
        <f t="shared" si="39"/>
        <v>6563.9581717319761</v>
      </c>
      <c r="BC47" s="52">
        <f t="shared" si="39"/>
        <v>6760.8769168839353</v>
      </c>
      <c r="BD47" s="52">
        <f t="shared" si="39"/>
        <v>6963.7032243904532</v>
      </c>
      <c r="BE47" s="52">
        <f t="shared" si="39"/>
        <v>7172.614321122167</v>
      </c>
      <c r="BF47" s="52">
        <f t="shared" si="39"/>
        <v>7387.7927507558325</v>
      </c>
      <c r="BG47" s="52">
        <f t="shared" si="39"/>
        <v>7609.426533278508</v>
      </c>
      <c r="BH47" s="52">
        <f t="shared" si="39"/>
        <v>7837.7093292768632</v>
      </c>
      <c r="BI47" s="52">
        <f t="shared" si="39"/>
        <v>8072.8406091551697</v>
      </c>
      <c r="BJ47" s="52">
        <f t="shared" si="39"/>
        <v>8315.0258274298249</v>
      </c>
      <c r="BK47" s="52">
        <f t="shared" si="39"/>
        <v>8564.4766022527201</v>
      </c>
      <c r="BL47" s="52">
        <f t="shared" si="39"/>
        <v>8821.4109003203012</v>
      </c>
      <c r="BM47" s="52">
        <f t="shared" si="39"/>
        <v>9086.0532273299104</v>
      </c>
      <c r="BN47" s="52">
        <f t="shared" si="39"/>
        <v>9358.6348241498072</v>
      </c>
      <c r="BO47" s="52">
        <f t="shared" si="39"/>
        <v>9639.3938688743019</v>
      </c>
      <c r="BP47" s="52">
        <f t="shared" si="39"/>
        <v>9928.5756849405316</v>
      </c>
      <c r="BQ47" s="52">
        <f t="shared" si="39"/>
        <v>10226.432955488748</v>
      </c>
      <c r="BR47" s="52">
        <f t="shared" si="39"/>
        <v>10533.225944153412</v>
      </c>
      <c r="BS47" s="52">
        <f t="shared" si="39"/>
        <v>10849.222722478014</v>
      </c>
      <c r="BT47" s="52">
        <f t="shared" si="39"/>
        <v>11174.699404152356</v>
      </c>
      <c r="BU47" s="52">
        <f t="shared" si="39"/>
        <v>11509.940386276927</v>
      </c>
      <c r="BV47" s="52">
        <f t="shared" si="39"/>
        <v>11855.238597865235</v>
      </c>
      <c r="BW47" s="52">
        <f t="shared" si="39"/>
        <v>12210.895755801192</v>
      </c>
      <c r="BX47" s="52">
        <f t="shared" si="39"/>
        <v>12577.222628475227</v>
      </c>
      <c r="BY47" s="52">
        <f t="shared" si="39"/>
        <v>12954.539307329484</v>
      </c>
      <c r="BZ47" s="52">
        <f t="shared" si="39"/>
        <v>13343.175486549368</v>
      </c>
      <c r="CA47" s="52">
        <f t="shared" si="39"/>
        <v>13743.470751145849</v>
      </c>
      <c r="CB47" s="52">
        <f t="shared" si="39"/>
        <v>14155.774873680224</v>
      </c>
      <c r="CC47" s="52">
        <f t="shared" si="39"/>
        <v>14580.448119890631</v>
      </c>
      <c r="CD47" s="52">
        <f t="shared" si="39"/>
        <v>15017.861563487349</v>
      </c>
      <c r="CE47" s="52">
        <f t="shared" si="39"/>
        <v>15468.39741039197</v>
      </c>
      <c r="CF47" s="52">
        <f t="shared" ref="CF47:CH47" si="40">CE47*(1+$E$6)</f>
        <v>15932.449332703729</v>
      </c>
      <c r="CG47" s="52">
        <f t="shared" si="40"/>
        <v>16410.422812684843</v>
      </c>
      <c r="CH47" s="52">
        <f t="shared" si="40"/>
        <v>16902.735497065387</v>
      </c>
    </row>
    <row r="48" spans="1:86" s="51" customFormat="1" x14ac:dyDescent="0.25">
      <c r="A48" s="1"/>
      <c r="B48" s="9"/>
      <c r="C48" s="11"/>
      <c r="D48" s="11"/>
      <c r="E48" s="11"/>
      <c r="F48" s="11"/>
      <c r="G48" s="11"/>
      <c r="H48" s="11"/>
      <c r="I48" s="37"/>
      <c r="J48" s="93"/>
      <c r="K48" s="93"/>
      <c r="L48" s="93"/>
      <c r="M48" s="93"/>
      <c r="N48" s="93"/>
      <c r="O48" s="93"/>
      <c r="P48" s="93"/>
      <c r="Q48" s="93"/>
      <c r="R48" s="93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</row>
    <row r="49" spans="1:18" s="51" customFormat="1" x14ac:dyDescent="0.25">
      <c r="A49" s="1"/>
      <c r="B49" s="9" t="s">
        <v>25</v>
      </c>
      <c r="C49" s="11">
        <f>C46+C37+C40-C43</f>
        <v>848.39999999999873</v>
      </c>
      <c r="D49" s="11">
        <f>D46+D37+D40-D43</f>
        <v>967.49999999999966</v>
      </c>
      <c r="E49" s="11">
        <f>E46+E37+E40-E43</f>
        <v>917.80000000000155</v>
      </c>
      <c r="F49" s="11">
        <f>F46+F37+F40-F43</f>
        <v>1228.1000000000004</v>
      </c>
      <c r="G49" s="11">
        <f>G46+G37+G40-G43</f>
        <v>1632.6</v>
      </c>
      <c r="H49" s="11">
        <f>H46+H37+H40-H43</f>
        <v>1691.3000000000025</v>
      </c>
      <c r="I49" s="37">
        <f>I46+I37+I40-I43</f>
        <v>1537.7076400000001</v>
      </c>
      <c r="J49" s="93">
        <f>J46+J37+J40-J43</f>
        <v>1505.3003000000001</v>
      </c>
      <c r="K49" s="93">
        <f>K46+K37+K40-K43</f>
        <v>1512.8054371428577</v>
      </c>
      <c r="L49" s="93">
        <f>L46+L37+L40-L43</f>
        <v>1719.3021615000002</v>
      </c>
      <c r="M49" s="93">
        <f>M46+M37+M40-M43</f>
        <v>1915.7025446999999</v>
      </c>
      <c r="N49" s="93">
        <f>N46+N37+N40-N43</f>
        <v>2127.4447108162503</v>
      </c>
      <c r="O49" s="93">
        <f>O46+O37+O40-O43</f>
        <v>2233.816946357063</v>
      </c>
      <c r="P49" s="93">
        <f>P46+P37+P40-P43</f>
        <v>2345.5077936749167</v>
      </c>
      <c r="Q49" s="93">
        <f>Q46+Q37+Q40-Q43</f>
        <v>2462.7831833586624</v>
      </c>
      <c r="R49" s="93">
        <f>R46+R37+R40-R43</f>
        <v>2585.9223425265959</v>
      </c>
    </row>
    <row r="50" spans="1:18" s="51" customFormat="1" x14ac:dyDescent="0.25">
      <c r="A50" s="1"/>
      <c r="B50" s="23" t="s">
        <v>26</v>
      </c>
      <c r="C50" s="1"/>
      <c r="D50" s="1"/>
      <c r="E50" s="1"/>
      <c r="F50" s="1"/>
      <c r="G50" s="1"/>
      <c r="H50" s="1"/>
      <c r="I50" s="72">
        <f>I49/((1+$E$5)^I9)</f>
        <v>1399.4603600885205</v>
      </c>
      <c r="J50" s="73">
        <f>J49/((1+$E$5)^J9)</f>
        <v>1246.8000383562892</v>
      </c>
      <c r="K50" s="73">
        <f>K49/((1+$E$5)^K9)</f>
        <v>1140.3641739087734</v>
      </c>
      <c r="L50" s="73">
        <f>L49/((1+$E$5)^L9)</f>
        <v>1179.5042952330248</v>
      </c>
      <c r="M50" s="73">
        <f>M49/((1+$E$5)^M9)</f>
        <v>1196.0854932980092</v>
      </c>
      <c r="N50" s="73">
        <f>N49/((1+$E$5)^N9)</f>
        <v>1208.8690495588173</v>
      </c>
      <c r="O50" s="73">
        <f>O49/((1+$E$5)^O9)</f>
        <v>1155.1952301968288</v>
      </c>
      <c r="P50" s="73">
        <f>P49/((1+$E$5)^P9)</f>
        <v>1103.9045299046479</v>
      </c>
      <c r="Q50" s="73">
        <f>Q49/((1+$E$5)^Q9)</f>
        <v>1054.8911381294124</v>
      </c>
      <c r="R50" s="73">
        <f>R49/((1+$E$5)^R9)</f>
        <v>1008.053942309746</v>
      </c>
    </row>
    <row r="51" spans="1:18" s="51" customFormat="1" x14ac:dyDescent="0.25">
      <c r="A51" s="1"/>
      <c r="B51" s="24"/>
      <c r="C51" s="24"/>
      <c r="D51" s="24"/>
      <c r="E51" s="24"/>
      <c r="F51" s="24"/>
      <c r="G51" s="24"/>
      <c r="H51" s="24"/>
      <c r="I51" s="74"/>
      <c r="J51" s="1"/>
      <c r="K51" s="1"/>
      <c r="L51" s="1"/>
      <c r="M51" s="1"/>
      <c r="N51" s="1"/>
      <c r="O51" s="1"/>
      <c r="P51" s="1"/>
      <c r="Q51" s="1"/>
      <c r="R51" s="1"/>
    </row>
    <row r="52" spans="1:18" s="51" customFormat="1" x14ac:dyDescent="0.25">
      <c r="A52" s="1"/>
      <c r="B52" s="1" t="s">
        <v>27</v>
      </c>
      <c r="C52" s="25">
        <f>(R49*(1+$E$6))/($E$5-$E$6)</f>
        <v>38721.46642459344</v>
      </c>
      <c r="D52" s="1"/>
      <c r="E52" s="1" t="s">
        <v>28</v>
      </c>
      <c r="F52" s="18">
        <f>NPV($E$5,I47:CH47)</f>
        <v>22906.058862184716</v>
      </c>
      <c r="G52" s="1"/>
      <c r="H52" s="1"/>
      <c r="I52" s="15"/>
      <c r="J52" s="1"/>
      <c r="K52" s="1"/>
      <c r="L52" s="1"/>
      <c r="M52" s="1"/>
      <c r="N52" s="1"/>
      <c r="O52" s="1"/>
      <c r="P52" s="1"/>
      <c r="Q52" s="1"/>
      <c r="R52" s="2"/>
    </row>
    <row r="53" spans="1:18" s="51" customFormat="1" x14ac:dyDescent="0.25">
      <c r="A53" s="1"/>
      <c r="B53" s="3" t="s">
        <v>29</v>
      </c>
      <c r="C53" s="26">
        <f>C52/((1+$E$5)^$R$9)</f>
        <v>15094.547210256926</v>
      </c>
      <c r="D53" s="16"/>
      <c r="E53" s="3"/>
      <c r="F53" s="3"/>
      <c r="G53" s="3"/>
      <c r="H53" s="16"/>
      <c r="I53" s="12"/>
      <c r="J53" s="1"/>
      <c r="K53" s="2"/>
      <c r="L53" s="83" t="s">
        <v>62</v>
      </c>
      <c r="M53" s="83"/>
      <c r="N53" s="83"/>
      <c r="O53" s="83"/>
      <c r="P53" s="83"/>
      <c r="Q53" s="83"/>
      <c r="R53" s="2"/>
    </row>
    <row r="54" spans="1:18" x14ac:dyDescent="0.25">
      <c r="A54" s="1"/>
      <c r="B54" s="6" t="s">
        <v>30</v>
      </c>
      <c r="C54" s="6"/>
      <c r="D54" s="1"/>
      <c r="E54" s="6"/>
      <c r="F54" s="6"/>
      <c r="G54" s="27" t="s">
        <v>31</v>
      </c>
      <c r="H54" s="27" t="s">
        <v>28</v>
      </c>
      <c r="I54" s="15"/>
      <c r="J54" s="1"/>
      <c r="K54" s="53"/>
      <c r="L54" s="58">
        <f>E60</f>
        <v>174.53035538610237</v>
      </c>
      <c r="M54" s="82">
        <v>-0.01</v>
      </c>
      <c r="N54" s="82">
        <v>0.01</v>
      </c>
      <c r="O54" s="82">
        <v>0.03</v>
      </c>
      <c r="P54" s="82">
        <v>0.04</v>
      </c>
      <c r="Q54" s="82">
        <v>0.05</v>
      </c>
    </row>
    <row r="55" spans="1:18" x14ac:dyDescent="0.25">
      <c r="A55" s="1"/>
      <c r="B55" s="28" t="s">
        <v>32</v>
      </c>
      <c r="C55" s="1"/>
      <c r="D55" s="22">
        <v>279.39999999999998</v>
      </c>
      <c r="E55" s="1"/>
      <c r="F55" s="1"/>
      <c r="G55" s="25">
        <f>C53+SUM(I50:R50)</f>
        <v>26787.675461240993</v>
      </c>
      <c r="H55" s="18">
        <f>F52</f>
        <v>22906.058862184716</v>
      </c>
      <c r="I55" s="15"/>
      <c r="K55" s="53"/>
      <c r="L55" s="55">
        <f>L56-1%</f>
        <v>8.3786134894692582E-2</v>
      </c>
      <c r="M55" s="59">
        <f t="dataTable" ref="M55:Q59" dt2D="1" dtr="1" r1="E6" r2="E5"/>
        <v>161.13405971577487</v>
      </c>
      <c r="N55" s="59">
        <v>186.00151391044284</v>
      </c>
      <c r="O55" s="59">
        <v>228.12461806358681</v>
      </c>
      <c r="P55" s="59">
        <v>262.01564862594131</v>
      </c>
      <c r="Q55" s="59">
        <v>312.82583096836237</v>
      </c>
    </row>
    <row r="56" spans="1:18" x14ac:dyDescent="0.25">
      <c r="A56" s="1"/>
      <c r="B56" s="29" t="s">
        <v>33</v>
      </c>
      <c r="C56" s="3"/>
      <c r="D56" s="38">
        <f>4777.9-2644-532</f>
        <v>1601.8999999999996</v>
      </c>
      <c r="E56" s="3"/>
      <c r="F56" s="3"/>
      <c r="G56" s="3"/>
      <c r="H56" s="3"/>
      <c r="I56" s="15"/>
      <c r="K56" s="54"/>
      <c r="L56" s="55">
        <f>L57-0.5%</f>
        <v>9.3786134894692577E-2</v>
      </c>
      <c r="M56" s="59">
        <v>142.07607750967074</v>
      </c>
      <c r="N56" s="60">
        <v>160.39964880546847</v>
      </c>
      <c r="O56" s="60">
        <v>189.70391827033987</v>
      </c>
      <c r="P56" s="60">
        <v>211.89187803522231</v>
      </c>
      <c r="Q56" s="59">
        <v>243.02982985149103</v>
      </c>
      <c r="R56" s="47"/>
    </row>
    <row r="57" spans="1:18" x14ac:dyDescent="0.25">
      <c r="A57" s="1"/>
      <c r="B57" s="6" t="s">
        <v>34</v>
      </c>
      <c r="C57" s="6"/>
      <c r="D57" s="6"/>
      <c r="E57" s="6"/>
      <c r="F57" s="6"/>
      <c r="G57" s="30">
        <f>G55+D55-D56</f>
        <v>25465.175461240993</v>
      </c>
      <c r="H57" s="31">
        <f>H55+D55-D56</f>
        <v>21583.55886218472</v>
      </c>
      <c r="I57" s="15"/>
      <c r="K57" s="53" t="s">
        <v>1</v>
      </c>
      <c r="L57" s="55">
        <v>9.8786134894692582E-2</v>
      </c>
      <c r="M57" s="59">
        <v>133.91024883713706</v>
      </c>
      <c r="N57" s="60">
        <v>149.77359200484398</v>
      </c>
      <c r="O57" s="61">
        <v>174.53035538610237</v>
      </c>
      <c r="P57" s="60">
        <v>192.81762026706241</v>
      </c>
      <c r="Q57" s="59">
        <v>217.85680448143992</v>
      </c>
    </row>
    <row r="58" spans="1:18" x14ac:dyDescent="0.25">
      <c r="A58" s="1"/>
      <c r="B58" s="3" t="s">
        <v>35</v>
      </c>
      <c r="C58" s="3"/>
      <c r="D58" s="36">
        <f>134786680/1000000</f>
        <v>134.78667999999999</v>
      </c>
      <c r="E58" s="3"/>
      <c r="F58" s="3"/>
      <c r="G58" s="3"/>
      <c r="H58" s="32"/>
      <c r="I58" s="15"/>
      <c r="K58" s="53"/>
      <c r="L58" s="56">
        <f>L57+0.5%</f>
        <v>0.10378613489469259</v>
      </c>
      <c r="M58" s="59">
        <v>126.49362884023085</v>
      </c>
      <c r="N58" s="60">
        <v>140.29632883850491</v>
      </c>
      <c r="O58" s="60">
        <v>161.36481901733322</v>
      </c>
      <c r="P58" s="60">
        <v>176.5895953789281</v>
      </c>
      <c r="Q58" s="59">
        <v>197.00137901915434</v>
      </c>
    </row>
    <row r="59" spans="1:18" x14ac:dyDescent="0.25">
      <c r="A59" s="1"/>
      <c r="B59" s="17" t="s">
        <v>36</v>
      </c>
      <c r="C59" s="17"/>
      <c r="D59" s="62">
        <f>D58*$J$5</f>
        <v>24039.204377999999</v>
      </c>
      <c r="E59" s="17"/>
      <c r="F59" s="17"/>
      <c r="G59" s="17"/>
      <c r="H59" s="33"/>
      <c r="I59" s="1"/>
      <c r="K59" s="53"/>
      <c r="L59" s="56">
        <f>L58+1%</f>
        <v>0.11378613489469258</v>
      </c>
      <c r="M59" s="59">
        <v>113.54331023315886</v>
      </c>
      <c r="N59" s="59">
        <v>124.1350650812623</v>
      </c>
      <c r="O59" s="59">
        <v>139.68892564360766</v>
      </c>
      <c r="P59" s="59">
        <v>150.51488637045611</v>
      </c>
      <c r="Q59" s="59">
        <v>164.53742023003502</v>
      </c>
    </row>
    <row r="60" spans="1:18" x14ac:dyDescent="0.25">
      <c r="A60" s="1"/>
      <c r="B60" s="6" t="s">
        <v>37</v>
      </c>
      <c r="D60" s="6" t="s">
        <v>38</v>
      </c>
      <c r="E60" s="34">
        <f>(G60+H60)/2</f>
        <v>174.53035538610237</v>
      </c>
      <c r="F60" s="6"/>
      <c r="G60" s="34">
        <f>G57/D58</f>
        <v>188.92946588817972</v>
      </c>
      <c r="H60" s="35">
        <f>H57/D58</f>
        <v>160.13124488402505</v>
      </c>
      <c r="I60" s="15"/>
    </row>
    <row r="61" spans="1:18" x14ac:dyDescent="0.25">
      <c r="B61" s="40"/>
      <c r="C61" s="40"/>
      <c r="D61" s="40"/>
      <c r="E61" s="40"/>
      <c r="F61" s="40"/>
      <c r="G61" s="40"/>
      <c r="H61" s="40"/>
      <c r="I61" s="21"/>
    </row>
  </sheetData>
  <sortState xmlns:xlrd2="http://schemas.microsoft.com/office/spreadsheetml/2017/richdata2" columnSort="1" ref="C10:H50">
    <sortCondition ref="C10:H10"/>
  </sortState>
  <mergeCells count="1">
    <mergeCell ref="L53:Q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I21"/>
  <sheetViews>
    <sheetView workbookViewId="0">
      <selection activeCell="G8" sqref="G8"/>
    </sheetView>
  </sheetViews>
  <sheetFormatPr defaultRowHeight="15" x14ac:dyDescent="0.25"/>
  <cols>
    <col min="1" max="1" width="37" customWidth="1"/>
    <col min="2" max="4" width="15.5703125" customWidth="1"/>
    <col min="6" max="6" width="18.5703125" customWidth="1"/>
  </cols>
  <sheetData>
    <row r="1" spans="1:9" x14ac:dyDescent="0.25">
      <c r="A1" s="65" t="s">
        <v>50</v>
      </c>
      <c r="B1" s="65" t="s">
        <v>50</v>
      </c>
      <c r="C1" s="65" t="s">
        <v>63</v>
      </c>
      <c r="D1" s="66"/>
      <c r="F1" s="65" t="s">
        <v>50</v>
      </c>
      <c r="G1" s="65" t="s">
        <v>50</v>
      </c>
      <c r="H1" s="65" t="s">
        <v>63</v>
      </c>
      <c r="I1" s="66"/>
    </row>
    <row r="2" spans="1:9" x14ac:dyDescent="0.25">
      <c r="A2" s="65" t="s">
        <v>50</v>
      </c>
      <c r="B2" s="65">
        <v>2020</v>
      </c>
      <c r="C2" s="65">
        <v>2021</v>
      </c>
      <c r="D2" s="65">
        <v>2022</v>
      </c>
      <c r="F2" s="65" t="s">
        <v>50</v>
      </c>
      <c r="G2" s="65">
        <v>2017</v>
      </c>
      <c r="H2" s="65">
        <v>2018</v>
      </c>
      <c r="I2" s="65">
        <v>2019</v>
      </c>
    </row>
    <row r="3" spans="1:9" x14ac:dyDescent="0.25">
      <c r="A3" s="65" t="s">
        <v>64</v>
      </c>
      <c r="B3" s="67">
        <v>18467.5</v>
      </c>
      <c r="C3" s="67">
        <v>20820.8</v>
      </c>
      <c r="D3" s="67">
        <v>23748.7</v>
      </c>
      <c r="F3" s="65" t="s">
        <v>64</v>
      </c>
      <c r="G3" s="67">
        <v>14832.9</v>
      </c>
      <c r="H3" s="67">
        <v>16240.5</v>
      </c>
      <c r="I3" s="67">
        <v>18032.400000000001</v>
      </c>
    </row>
    <row r="4" spans="1:9" x14ac:dyDescent="0.25">
      <c r="A4" s="65" t="s">
        <v>65</v>
      </c>
      <c r="B4" s="68">
        <v>15257.4</v>
      </c>
      <c r="C4" s="68">
        <v>17252.3</v>
      </c>
      <c r="D4" s="68">
        <v>19062.099999999999</v>
      </c>
      <c r="F4" s="65" t="s">
        <v>65</v>
      </c>
      <c r="G4" s="68">
        <v>12382.7</v>
      </c>
      <c r="H4" s="68">
        <v>13533.6</v>
      </c>
      <c r="I4" s="68">
        <v>14992.5</v>
      </c>
    </row>
    <row r="5" spans="1:9" x14ac:dyDescent="0.25">
      <c r="A5" s="65" t="s">
        <v>66</v>
      </c>
      <c r="B5" s="68">
        <v>3210.1</v>
      </c>
      <c r="C5" s="68">
        <v>3568.5</v>
      </c>
      <c r="D5" s="68">
        <v>4686.6000000000004</v>
      </c>
      <c r="F5" s="65" t="s">
        <v>66</v>
      </c>
      <c r="G5" s="68">
        <v>2450.1999999999998</v>
      </c>
      <c r="H5" s="68">
        <v>2706.9</v>
      </c>
      <c r="I5" s="68">
        <v>3039.9</v>
      </c>
    </row>
    <row r="6" spans="1:9" x14ac:dyDescent="0.25">
      <c r="A6" s="65" t="s">
        <v>67</v>
      </c>
      <c r="B6" s="68">
        <v>2030.9</v>
      </c>
      <c r="C6" s="68">
        <v>2149.5</v>
      </c>
      <c r="D6" s="68">
        <v>2951.4</v>
      </c>
      <c r="F6" s="65" t="s">
        <v>67</v>
      </c>
      <c r="G6" s="68">
        <v>1410</v>
      </c>
      <c r="H6" s="68">
        <v>1537.1</v>
      </c>
      <c r="I6" s="68">
        <v>1713.1</v>
      </c>
    </row>
    <row r="7" spans="1:9" x14ac:dyDescent="0.25">
      <c r="A7" s="65" t="s">
        <v>13</v>
      </c>
      <c r="B7" s="68">
        <v>1179.2</v>
      </c>
      <c r="C7" s="68">
        <v>1419</v>
      </c>
      <c r="D7" s="68">
        <v>1735.2</v>
      </c>
      <c r="F7" s="65" t="s">
        <v>109</v>
      </c>
      <c r="G7" s="68">
        <v>173.7</v>
      </c>
      <c r="H7" s="68">
        <v>182.5</v>
      </c>
      <c r="I7" s="68">
        <v>193.2</v>
      </c>
    </row>
    <row r="8" spans="1:9" x14ac:dyDescent="0.25">
      <c r="A8" s="65" t="s">
        <v>52</v>
      </c>
      <c r="B8" s="68">
        <v>-154.9</v>
      </c>
      <c r="C8" s="68">
        <v>-150.9</v>
      </c>
      <c r="D8" s="68">
        <v>-235.7</v>
      </c>
      <c r="F8" s="65" t="s">
        <v>13</v>
      </c>
      <c r="G8" s="68">
        <v>866.5</v>
      </c>
      <c r="H8" s="68">
        <v>987.3</v>
      </c>
      <c r="I8" s="68">
        <v>1133.5999999999999</v>
      </c>
    </row>
    <row r="9" spans="1:9" x14ac:dyDescent="0.25">
      <c r="A9" s="65" t="s">
        <v>68</v>
      </c>
      <c r="B9" s="68">
        <v>-22</v>
      </c>
      <c r="C9" s="68">
        <v>29.7</v>
      </c>
      <c r="D9" s="68">
        <v>-11.7</v>
      </c>
      <c r="F9" s="65" t="s">
        <v>52</v>
      </c>
      <c r="G9" s="68">
        <v>-150.5</v>
      </c>
      <c r="H9" s="68">
        <v>-148.6</v>
      </c>
      <c r="I9" s="68">
        <v>-159.4</v>
      </c>
    </row>
    <row r="10" spans="1:9" x14ac:dyDescent="0.25">
      <c r="A10" s="65" t="s">
        <v>69</v>
      </c>
      <c r="B10" s="68">
        <v>1002.3</v>
      </c>
      <c r="C10" s="68">
        <v>1297.8</v>
      </c>
      <c r="D10" s="68">
        <v>1487.8</v>
      </c>
      <c r="F10" s="65" t="s">
        <v>68</v>
      </c>
      <c r="G10" s="68">
        <v>-55.3</v>
      </c>
      <c r="H10" s="68">
        <v>1.8</v>
      </c>
      <c r="I10" s="68">
        <v>-24.5</v>
      </c>
    </row>
    <row r="11" spans="1:9" x14ac:dyDescent="0.25">
      <c r="A11" s="65" t="s">
        <v>70</v>
      </c>
      <c r="B11" s="68">
        <v>-213.8</v>
      </c>
      <c r="C11" s="68">
        <v>-309.2</v>
      </c>
      <c r="D11" s="68">
        <v>-373.3</v>
      </c>
      <c r="F11" s="65" t="s">
        <v>69</v>
      </c>
      <c r="G11" s="68">
        <v>660.7</v>
      </c>
      <c r="H11" s="68">
        <v>840.5</v>
      </c>
      <c r="I11" s="68">
        <v>949.7</v>
      </c>
    </row>
    <row r="12" spans="1:9" x14ac:dyDescent="0.25">
      <c r="A12" s="65" t="s">
        <v>24</v>
      </c>
      <c r="B12" s="67">
        <v>788.5</v>
      </c>
      <c r="C12" s="67">
        <v>988.6</v>
      </c>
      <c r="D12" s="67">
        <v>1114.5</v>
      </c>
      <c r="F12" s="65" t="s">
        <v>70</v>
      </c>
      <c r="G12" s="68">
        <v>-137.6</v>
      </c>
      <c r="H12" s="68">
        <v>-197.5</v>
      </c>
      <c r="I12" s="68">
        <v>-212.9</v>
      </c>
    </row>
    <row r="13" spans="1:9" x14ac:dyDescent="0.25">
      <c r="A13" s="66"/>
      <c r="B13" s="66"/>
      <c r="C13" s="66"/>
      <c r="D13" s="66"/>
      <c r="F13" s="65" t="s">
        <v>24</v>
      </c>
      <c r="G13" s="67">
        <v>523.1</v>
      </c>
      <c r="H13" s="67">
        <v>643</v>
      </c>
      <c r="I13" s="67">
        <v>736.8</v>
      </c>
    </row>
    <row r="14" spans="1:9" x14ac:dyDescent="0.25">
      <c r="A14" s="65" t="s">
        <v>71</v>
      </c>
      <c r="B14" s="66"/>
      <c r="C14" s="66"/>
      <c r="D14" s="66"/>
      <c r="F14" s="66"/>
      <c r="G14" s="66"/>
      <c r="H14" s="66"/>
      <c r="I14" s="66"/>
    </row>
    <row r="15" spans="1:9" x14ac:dyDescent="0.25">
      <c r="A15" s="65" t="s">
        <v>55</v>
      </c>
      <c r="B15" s="67">
        <v>5.53</v>
      </c>
      <c r="C15" s="67">
        <v>7.14</v>
      </c>
      <c r="D15" s="67">
        <v>8.24</v>
      </c>
      <c r="F15" s="65" t="s">
        <v>71</v>
      </c>
      <c r="G15" s="66"/>
      <c r="H15" s="66"/>
      <c r="I15" s="66"/>
    </row>
    <row r="16" spans="1:9" x14ac:dyDescent="0.25">
      <c r="A16" s="65" t="s">
        <v>54</v>
      </c>
      <c r="B16" s="67">
        <v>5.45</v>
      </c>
      <c r="C16" s="67">
        <v>7.04</v>
      </c>
      <c r="D16" s="67">
        <v>8.1300000000000008</v>
      </c>
      <c r="F16" s="65" t="s">
        <v>55</v>
      </c>
      <c r="G16" s="67">
        <v>3.37</v>
      </c>
      <c r="H16" s="67">
        <v>4.26</v>
      </c>
      <c r="I16" s="67">
        <v>5.08</v>
      </c>
    </row>
    <row r="17" spans="1:9" x14ac:dyDescent="0.25">
      <c r="A17" s="66"/>
      <c r="B17" s="66"/>
      <c r="C17" s="66"/>
      <c r="D17" s="66"/>
      <c r="F17" s="65" t="s">
        <v>54</v>
      </c>
      <c r="G17" s="67">
        <v>3.31</v>
      </c>
      <c r="H17" s="67">
        <v>4.1900000000000004</v>
      </c>
      <c r="I17" s="67">
        <v>4.99</v>
      </c>
    </row>
    <row r="18" spans="1:9" x14ac:dyDescent="0.25">
      <c r="A18" s="65" t="s">
        <v>72</v>
      </c>
      <c r="B18" s="66"/>
      <c r="C18" s="66"/>
      <c r="D18" s="66"/>
      <c r="F18" s="66"/>
      <c r="G18" s="66"/>
      <c r="H18" s="66"/>
      <c r="I18" s="66"/>
    </row>
    <row r="19" spans="1:9" x14ac:dyDescent="0.25">
      <c r="A19" s="65" t="s">
        <v>55</v>
      </c>
      <c r="B19" s="68">
        <v>142.6</v>
      </c>
      <c r="C19" s="68">
        <v>138.5</v>
      </c>
      <c r="D19" s="68">
        <v>135.19999999999999</v>
      </c>
      <c r="F19" s="65" t="s">
        <v>72</v>
      </c>
      <c r="G19" s="66"/>
      <c r="H19" s="66"/>
      <c r="I19" s="66"/>
    </row>
    <row r="20" spans="1:9" x14ac:dyDescent="0.25">
      <c r="A20" s="65" t="s">
        <v>54</v>
      </c>
      <c r="B20" s="68">
        <v>144.80000000000001</v>
      </c>
      <c r="C20" s="68">
        <v>140.5</v>
      </c>
      <c r="D20" s="68">
        <v>137</v>
      </c>
      <c r="F20" s="65" t="s">
        <v>55</v>
      </c>
      <c r="G20" s="68">
        <v>155.4</v>
      </c>
      <c r="H20" s="68">
        <v>150.9</v>
      </c>
      <c r="I20" s="68">
        <v>145.1</v>
      </c>
    </row>
    <row r="21" spans="1:9" x14ac:dyDescent="0.25">
      <c r="F21" s="65" t="s">
        <v>54</v>
      </c>
      <c r="G21" s="68">
        <v>158.19999999999999</v>
      </c>
      <c r="H21" s="68">
        <v>153.6</v>
      </c>
      <c r="I21" s="68">
        <v>147.80000000000001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46"/>
  <sheetViews>
    <sheetView topLeftCell="A4" workbookViewId="0">
      <selection activeCell="H8" sqref="H8"/>
    </sheetView>
  </sheetViews>
  <sheetFormatPr defaultRowHeight="15" x14ac:dyDescent="0.25"/>
  <cols>
    <col min="1" max="1" width="61.5703125" customWidth="1"/>
    <col min="4" max="4" width="11.7109375" customWidth="1"/>
    <col min="6" max="6" width="42" customWidth="1"/>
  </cols>
  <sheetData>
    <row r="1" spans="1:9" x14ac:dyDescent="0.25">
      <c r="A1" s="65" t="s">
        <v>50</v>
      </c>
      <c r="B1" s="66"/>
      <c r="C1" s="65" t="s">
        <v>63</v>
      </c>
      <c r="D1" s="65" t="s">
        <v>50</v>
      </c>
      <c r="F1" s="65" t="s">
        <v>50</v>
      </c>
      <c r="G1" s="66"/>
      <c r="H1" s="65" t="s">
        <v>63</v>
      </c>
      <c r="I1" s="65" t="s">
        <v>50</v>
      </c>
    </row>
    <row r="2" spans="1:9" x14ac:dyDescent="0.25">
      <c r="A2" s="65" t="s">
        <v>50</v>
      </c>
      <c r="B2" s="65">
        <v>2020</v>
      </c>
      <c r="C2" s="65">
        <v>2021</v>
      </c>
      <c r="D2" s="65">
        <v>2022</v>
      </c>
      <c r="F2" s="65" t="s">
        <v>50</v>
      </c>
      <c r="G2" s="65">
        <v>2017</v>
      </c>
      <c r="H2" s="65">
        <v>2018</v>
      </c>
      <c r="I2" s="65">
        <v>2019</v>
      </c>
    </row>
    <row r="3" spans="1:9" x14ac:dyDescent="0.25">
      <c r="A3" s="65" t="s">
        <v>73</v>
      </c>
      <c r="B3" s="66"/>
      <c r="C3" s="66"/>
      <c r="D3" s="66"/>
      <c r="F3" s="65" t="s">
        <v>73</v>
      </c>
      <c r="G3" s="66"/>
      <c r="H3" s="66"/>
      <c r="I3" s="66"/>
    </row>
    <row r="4" spans="1:9" x14ac:dyDescent="0.25">
      <c r="A4" s="65" t="s">
        <v>24</v>
      </c>
      <c r="B4" s="67">
        <v>788.5</v>
      </c>
      <c r="C4" s="67">
        <v>988.6</v>
      </c>
      <c r="D4" s="67">
        <v>1114.5</v>
      </c>
      <c r="F4" s="65" t="s">
        <v>24</v>
      </c>
      <c r="G4" s="67">
        <v>523.1</v>
      </c>
      <c r="H4" s="67">
        <v>643</v>
      </c>
      <c r="I4" s="67">
        <v>736.8</v>
      </c>
    </row>
    <row r="5" spans="1:9" x14ac:dyDescent="0.25">
      <c r="A5" s="65" t="s">
        <v>74</v>
      </c>
      <c r="B5" s="66"/>
      <c r="C5" s="66"/>
      <c r="D5" s="66"/>
      <c r="F5" s="65" t="s">
        <v>110</v>
      </c>
      <c r="G5" s="66"/>
      <c r="H5" s="66"/>
      <c r="I5" s="66"/>
    </row>
    <row r="6" spans="1:9" x14ac:dyDescent="0.25">
      <c r="A6" s="65" t="s">
        <v>75</v>
      </c>
      <c r="B6" s="66"/>
      <c r="C6" s="66"/>
      <c r="D6" s="66"/>
      <c r="F6" s="65" t="s">
        <v>111</v>
      </c>
      <c r="G6" s="66"/>
      <c r="H6" s="66"/>
      <c r="I6" s="66"/>
    </row>
    <row r="7" spans="1:9" x14ac:dyDescent="0.25">
      <c r="A7" s="65" t="s">
        <v>51</v>
      </c>
      <c r="B7" s="68">
        <v>425.6</v>
      </c>
      <c r="C7" s="68">
        <v>191.2</v>
      </c>
      <c r="D7" s="68">
        <v>290.60000000000002</v>
      </c>
      <c r="F7" s="65" t="s">
        <v>51</v>
      </c>
      <c r="G7" s="68">
        <v>260.89999999999998</v>
      </c>
      <c r="H7" s="68">
        <v>265.60000000000002</v>
      </c>
      <c r="I7" s="68">
        <v>267.10000000000002</v>
      </c>
    </row>
    <row r="8" spans="1:9" x14ac:dyDescent="0.25">
      <c r="A8" s="65" t="s">
        <v>76</v>
      </c>
      <c r="B8" s="68">
        <v>42.5</v>
      </c>
      <c r="C8" s="68">
        <v>72.599999999999994</v>
      </c>
      <c r="D8" s="68">
        <v>91.1</v>
      </c>
      <c r="F8" s="65" t="s">
        <v>76</v>
      </c>
      <c r="G8" s="68">
        <v>43.7</v>
      </c>
      <c r="H8" s="68">
        <v>40.700000000000003</v>
      </c>
      <c r="I8" s="68">
        <v>48.5</v>
      </c>
    </row>
    <row r="9" spans="1:9" x14ac:dyDescent="0.25">
      <c r="A9" s="65" t="s">
        <v>56</v>
      </c>
      <c r="B9" s="68">
        <v>-20.2</v>
      </c>
      <c r="C9" s="68">
        <v>-6.7</v>
      </c>
      <c r="D9" s="68">
        <v>-18.2</v>
      </c>
      <c r="F9" s="65" t="s">
        <v>56</v>
      </c>
      <c r="G9" s="68">
        <v>-172.7</v>
      </c>
      <c r="H9" s="68">
        <v>-56.1</v>
      </c>
      <c r="I9" s="68">
        <v>-87.9</v>
      </c>
    </row>
    <row r="10" spans="1:9" x14ac:dyDescent="0.25">
      <c r="A10" s="65" t="s">
        <v>77</v>
      </c>
      <c r="B10" s="68">
        <v>30.9</v>
      </c>
      <c r="C10" s="68">
        <v>-5.4</v>
      </c>
      <c r="D10" s="68">
        <v>8.3000000000000007</v>
      </c>
      <c r="F10" s="65" t="s">
        <v>59</v>
      </c>
      <c r="G10" s="68">
        <v>62.4</v>
      </c>
      <c r="H10" s="68">
        <v>10.9</v>
      </c>
      <c r="I10" s="68">
        <v>29</v>
      </c>
    </row>
    <row r="11" spans="1:9" x14ac:dyDescent="0.25">
      <c r="A11" s="65" t="s">
        <v>59</v>
      </c>
      <c r="B11" s="68">
        <v>42.1</v>
      </c>
      <c r="C11" s="68">
        <v>-24.1</v>
      </c>
      <c r="D11" s="68">
        <v>16.2</v>
      </c>
      <c r="F11" s="65" t="s">
        <v>78</v>
      </c>
      <c r="G11" s="66"/>
      <c r="H11" s="66"/>
      <c r="I11" s="66"/>
    </row>
    <row r="12" spans="1:9" x14ac:dyDescent="0.25">
      <c r="A12" s="65" t="s">
        <v>78</v>
      </c>
      <c r="B12" s="66"/>
      <c r="C12" s="66"/>
      <c r="D12" s="66"/>
      <c r="F12" s="65" t="s">
        <v>79</v>
      </c>
      <c r="G12" s="68">
        <v>-136.80000000000001</v>
      </c>
      <c r="H12" s="68">
        <v>-365.1</v>
      </c>
      <c r="I12" s="68">
        <v>-244.8</v>
      </c>
    </row>
    <row r="13" spans="1:9" x14ac:dyDescent="0.25">
      <c r="A13" s="65" t="s">
        <v>79</v>
      </c>
      <c r="B13" s="68">
        <v>-226.4</v>
      </c>
      <c r="C13" s="68">
        <v>-616.79999999999995</v>
      </c>
      <c r="D13" s="68">
        <v>-34.799999999999997</v>
      </c>
      <c r="F13" s="65" t="s">
        <v>80</v>
      </c>
      <c r="G13" s="68">
        <v>16.899999999999999</v>
      </c>
      <c r="H13" s="68">
        <v>-46.8</v>
      </c>
      <c r="I13" s="68">
        <v>-153</v>
      </c>
    </row>
    <row r="14" spans="1:9" x14ac:dyDescent="0.25">
      <c r="A14" s="65" t="s">
        <v>80</v>
      </c>
      <c r="B14" s="68">
        <v>-71.400000000000006</v>
      </c>
      <c r="C14" s="68">
        <v>-151</v>
      </c>
      <c r="D14" s="68">
        <v>111.9</v>
      </c>
      <c r="F14" s="65" t="s">
        <v>57</v>
      </c>
      <c r="G14" s="68">
        <v>-117.8</v>
      </c>
      <c r="H14" s="68">
        <v>25.2</v>
      </c>
      <c r="I14" s="68">
        <v>-10.9</v>
      </c>
    </row>
    <row r="15" spans="1:9" x14ac:dyDescent="0.25">
      <c r="A15" s="65" t="s">
        <v>57</v>
      </c>
      <c r="B15" s="68">
        <v>18.600000000000001</v>
      </c>
      <c r="C15" s="68">
        <v>-134.80000000000001</v>
      </c>
      <c r="D15" s="68">
        <v>-208.9</v>
      </c>
      <c r="F15" s="65" t="s">
        <v>81</v>
      </c>
      <c r="G15" s="68">
        <v>231.5</v>
      </c>
      <c r="H15" s="68">
        <v>271.2</v>
      </c>
      <c r="I15" s="68">
        <v>194.1</v>
      </c>
    </row>
    <row r="16" spans="1:9" x14ac:dyDescent="0.25">
      <c r="A16" s="65" t="s">
        <v>81</v>
      </c>
      <c r="B16" s="68">
        <v>253.7</v>
      </c>
      <c r="C16" s="68">
        <v>374.5</v>
      </c>
      <c r="D16" s="68">
        <v>-260</v>
      </c>
      <c r="F16" s="65" t="s">
        <v>82</v>
      </c>
      <c r="G16" s="68">
        <v>66.5</v>
      </c>
      <c r="H16" s="68">
        <v>117.3</v>
      </c>
      <c r="I16" s="68">
        <v>248.3</v>
      </c>
    </row>
    <row r="17" spans="1:9" x14ac:dyDescent="0.25">
      <c r="A17" s="65" t="s">
        <v>82</v>
      </c>
      <c r="B17" s="68">
        <v>30.4</v>
      </c>
      <c r="C17" s="68">
        <v>96.5</v>
      </c>
      <c r="D17" s="68">
        <v>225.2</v>
      </c>
      <c r="F17" s="65" t="s">
        <v>83</v>
      </c>
      <c r="G17" s="68">
        <v>777.7</v>
      </c>
      <c r="H17" s="68">
        <v>905.9</v>
      </c>
      <c r="I17" s="68">
        <v>1027.2</v>
      </c>
    </row>
    <row r="18" spans="1:9" x14ac:dyDescent="0.25">
      <c r="A18" s="65" t="s">
        <v>83</v>
      </c>
      <c r="B18" s="68">
        <v>1314.3</v>
      </c>
      <c r="C18" s="68">
        <v>784.6</v>
      </c>
      <c r="D18" s="68">
        <v>1335.9</v>
      </c>
      <c r="F18" s="65" t="s">
        <v>112</v>
      </c>
      <c r="G18" s="66"/>
      <c r="H18" s="66"/>
      <c r="I18" s="66"/>
    </row>
    <row r="19" spans="1:9" x14ac:dyDescent="0.25">
      <c r="A19" s="65" t="s">
        <v>84</v>
      </c>
      <c r="B19" s="66"/>
      <c r="C19" s="66"/>
      <c r="D19" s="66"/>
      <c r="F19" s="65" t="s">
        <v>85</v>
      </c>
      <c r="G19" s="68">
        <v>-81.099999999999994</v>
      </c>
      <c r="H19" s="68">
        <v>-86.1</v>
      </c>
      <c r="I19" s="68">
        <v>-236.3</v>
      </c>
    </row>
    <row r="20" spans="1:9" x14ac:dyDescent="0.25">
      <c r="A20" s="65" t="s">
        <v>85</v>
      </c>
      <c r="B20" s="68">
        <v>-158</v>
      </c>
      <c r="C20" s="68">
        <v>-100</v>
      </c>
      <c r="D20" s="68">
        <v>-127.8</v>
      </c>
      <c r="F20" s="65" t="s">
        <v>113</v>
      </c>
      <c r="G20" s="69">
        <v>0</v>
      </c>
      <c r="H20" s="69">
        <v>0</v>
      </c>
      <c r="I20" s="68">
        <v>-95.1</v>
      </c>
    </row>
    <row r="21" spans="1:9" x14ac:dyDescent="0.25">
      <c r="A21" s="65" t="s">
        <v>86</v>
      </c>
      <c r="B21" s="68">
        <v>-43</v>
      </c>
      <c r="C21" s="68">
        <v>-2705.6</v>
      </c>
      <c r="D21" s="68">
        <v>-36.700000000000003</v>
      </c>
      <c r="F21" s="65" t="s">
        <v>88</v>
      </c>
      <c r="G21" s="68">
        <v>-81.099999999999994</v>
      </c>
      <c r="H21" s="68">
        <v>-86.1</v>
      </c>
      <c r="I21" s="68">
        <v>-331.4</v>
      </c>
    </row>
    <row r="22" spans="1:9" x14ac:dyDescent="0.25">
      <c r="A22" s="65" t="s">
        <v>87</v>
      </c>
      <c r="B22" s="69">
        <v>0</v>
      </c>
      <c r="C22" s="68">
        <v>36</v>
      </c>
      <c r="D22" s="69">
        <v>0</v>
      </c>
      <c r="F22" s="65" t="s">
        <v>114</v>
      </c>
      <c r="G22" s="66"/>
      <c r="H22" s="66"/>
      <c r="I22" s="66"/>
    </row>
    <row r="23" spans="1:9" x14ac:dyDescent="0.25">
      <c r="A23" s="65" t="s">
        <v>88</v>
      </c>
      <c r="B23" s="68">
        <v>-201</v>
      </c>
      <c r="C23" s="68">
        <v>-2769.6</v>
      </c>
      <c r="D23" s="68">
        <v>-164.5</v>
      </c>
      <c r="F23" s="65" t="s">
        <v>115</v>
      </c>
      <c r="G23" s="66"/>
      <c r="H23" s="66"/>
      <c r="I23" s="66"/>
    </row>
    <row r="24" spans="1:9" x14ac:dyDescent="0.25">
      <c r="A24" s="65" t="s">
        <v>89</v>
      </c>
      <c r="B24" s="66"/>
      <c r="C24" s="66"/>
      <c r="D24" s="66"/>
      <c r="F24" s="65" t="s">
        <v>116</v>
      </c>
      <c r="G24" s="68">
        <v>1560.7</v>
      </c>
      <c r="H24" s="68">
        <v>686.7</v>
      </c>
      <c r="I24" s="68">
        <v>2445.5</v>
      </c>
    </row>
    <row r="25" spans="1:9" x14ac:dyDescent="0.25">
      <c r="A25" s="65" t="s">
        <v>90</v>
      </c>
      <c r="B25" s="68">
        <v>1024</v>
      </c>
      <c r="C25" s="68">
        <v>1619.7</v>
      </c>
      <c r="D25" s="68">
        <v>2301.4</v>
      </c>
      <c r="F25" s="65" t="s">
        <v>117</v>
      </c>
      <c r="G25" s="66"/>
      <c r="H25" s="66"/>
      <c r="I25" s="66"/>
    </row>
    <row r="26" spans="1:9" x14ac:dyDescent="0.25">
      <c r="A26" s="65" t="s">
        <v>91</v>
      </c>
      <c r="B26" s="68">
        <v>-1075</v>
      </c>
      <c r="C26" s="68">
        <v>-1300.5</v>
      </c>
      <c r="D26" s="68">
        <v>-2531.1999999999998</v>
      </c>
      <c r="F26" s="65" t="s">
        <v>116</v>
      </c>
      <c r="G26" s="68">
        <v>-1560.7</v>
      </c>
      <c r="H26" s="68">
        <v>-686.7</v>
      </c>
      <c r="I26" s="68">
        <v>-2394.5</v>
      </c>
    </row>
    <row r="27" spans="1:9" x14ac:dyDescent="0.25">
      <c r="A27" s="65" t="s">
        <v>92</v>
      </c>
      <c r="B27" s="68">
        <v>1300</v>
      </c>
      <c r="C27" s="68">
        <v>3917.5</v>
      </c>
      <c r="D27" s="69">
        <v>0</v>
      </c>
      <c r="F27" s="65" t="s">
        <v>118</v>
      </c>
      <c r="G27" s="68">
        <v>-14.9</v>
      </c>
      <c r="H27" s="68">
        <v>-21.6</v>
      </c>
      <c r="I27" s="68">
        <v>-23.5</v>
      </c>
    </row>
    <row r="28" spans="1:9" x14ac:dyDescent="0.25">
      <c r="A28" s="65" t="s">
        <v>93</v>
      </c>
      <c r="B28" s="68">
        <v>-21.4</v>
      </c>
      <c r="C28" s="68">
        <v>-11.2</v>
      </c>
      <c r="D28" s="68">
        <v>-635.5</v>
      </c>
      <c r="F28" s="65" t="s">
        <v>92</v>
      </c>
      <c r="G28" s="68">
        <v>2083</v>
      </c>
      <c r="H28" s="69">
        <v>0</v>
      </c>
      <c r="I28" s="68">
        <v>600</v>
      </c>
    </row>
    <row r="29" spans="1:9" x14ac:dyDescent="0.25">
      <c r="A29" s="65" t="s">
        <v>94</v>
      </c>
      <c r="B29" s="69">
        <v>0</v>
      </c>
      <c r="C29" s="68">
        <v>-15.8</v>
      </c>
      <c r="D29" s="68">
        <v>-68.8</v>
      </c>
      <c r="F29" s="65" t="s">
        <v>119</v>
      </c>
      <c r="G29" s="68">
        <v>-2121.3000000000002</v>
      </c>
      <c r="H29" s="69">
        <v>0</v>
      </c>
      <c r="I29" s="68">
        <v>-539</v>
      </c>
    </row>
    <row r="30" spans="1:9" x14ac:dyDescent="0.25">
      <c r="A30" s="65" t="s">
        <v>95</v>
      </c>
      <c r="B30" s="68">
        <v>-622.5</v>
      </c>
      <c r="C30" s="68">
        <v>-1469.2</v>
      </c>
      <c r="D30" s="69">
        <v>0</v>
      </c>
      <c r="F30" s="65" t="s">
        <v>97</v>
      </c>
      <c r="G30" s="68">
        <v>-84</v>
      </c>
      <c r="H30" s="68">
        <v>-67.400000000000006</v>
      </c>
      <c r="I30" s="68">
        <v>-1.3</v>
      </c>
    </row>
    <row r="31" spans="1:9" x14ac:dyDescent="0.25">
      <c r="A31" s="65" t="s">
        <v>96</v>
      </c>
      <c r="B31" s="68">
        <v>-16.2</v>
      </c>
      <c r="C31" s="68">
        <v>-38.1</v>
      </c>
      <c r="D31" s="69">
        <v>0</v>
      </c>
      <c r="F31" s="65" t="s">
        <v>60</v>
      </c>
      <c r="G31" s="68">
        <v>-534</v>
      </c>
      <c r="H31" s="68">
        <v>-522.29999999999995</v>
      </c>
      <c r="I31" s="68">
        <v>-657.2</v>
      </c>
    </row>
    <row r="32" spans="1:9" x14ac:dyDescent="0.25">
      <c r="A32" s="65" t="s">
        <v>97</v>
      </c>
      <c r="B32" s="68">
        <v>93</v>
      </c>
      <c r="C32" s="68">
        <v>-161.80000000000001</v>
      </c>
      <c r="D32" s="68">
        <v>84.6</v>
      </c>
      <c r="F32" s="65" t="s">
        <v>120</v>
      </c>
      <c r="G32" s="66"/>
      <c r="H32" s="66"/>
      <c r="I32" s="66"/>
    </row>
    <row r="33" spans="1:9" x14ac:dyDescent="0.25">
      <c r="A33" s="65" t="s">
        <v>98</v>
      </c>
      <c r="B33" s="68">
        <v>-18.100000000000001</v>
      </c>
      <c r="C33" s="68">
        <v>-46.1</v>
      </c>
      <c r="D33" s="69">
        <v>0</v>
      </c>
      <c r="F33" s="65" t="s">
        <v>53</v>
      </c>
      <c r="G33" s="68">
        <v>-49.6</v>
      </c>
      <c r="H33" s="68">
        <v>-33.9</v>
      </c>
      <c r="I33" s="68">
        <v>-21.4</v>
      </c>
    </row>
    <row r="34" spans="1:9" x14ac:dyDescent="0.25">
      <c r="A34" s="65" t="s">
        <v>60</v>
      </c>
      <c r="B34" s="68">
        <v>-340.6</v>
      </c>
      <c r="C34" s="68">
        <v>-1500.4</v>
      </c>
      <c r="D34" s="69">
        <v>0</v>
      </c>
      <c r="F34" s="65" t="s">
        <v>101</v>
      </c>
      <c r="G34" s="68">
        <v>-106.9</v>
      </c>
      <c r="H34" s="68">
        <v>-139.4</v>
      </c>
      <c r="I34" s="68">
        <v>-183.4</v>
      </c>
    </row>
    <row r="35" spans="1:9" x14ac:dyDescent="0.25">
      <c r="A35" s="65" t="s">
        <v>99</v>
      </c>
      <c r="B35" s="68">
        <v>49.2</v>
      </c>
      <c r="C35" s="68">
        <v>69.900000000000006</v>
      </c>
      <c r="D35" s="68">
        <v>30.2</v>
      </c>
      <c r="F35" s="65" t="s">
        <v>59</v>
      </c>
      <c r="G35" s="68">
        <v>9</v>
      </c>
      <c r="H35" s="68">
        <v>29.8</v>
      </c>
      <c r="I35" s="68">
        <v>25</v>
      </c>
    </row>
    <row r="36" spans="1:9" x14ac:dyDescent="0.25">
      <c r="A36" s="65" t="s">
        <v>100</v>
      </c>
      <c r="B36" s="68">
        <v>-22.5</v>
      </c>
      <c r="C36" s="68">
        <v>-28.5</v>
      </c>
      <c r="D36" s="68">
        <v>-23.1</v>
      </c>
      <c r="F36" s="65" t="s">
        <v>121</v>
      </c>
      <c r="G36" s="68">
        <v>-818.7</v>
      </c>
      <c r="H36" s="68">
        <v>-754.8</v>
      </c>
      <c r="I36" s="68">
        <v>-749.8</v>
      </c>
    </row>
    <row r="37" spans="1:9" x14ac:dyDescent="0.25">
      <c r="A37" s="65" t="s">
        <v>101</v>
      </c>
      <c r="B37" s="68">
        <v>-219.6</v>
      </c>
      <c r="C37" s="68">
        <v>-234.8</v>
      </c>
      <c r="D37" s="68">
        <v>-282.60000000000002</v>
      </c>
      <c r="F37" s="65" t="s">
        <v>122</v>
      </c>
      <c r="G37" s="66"/>
      <c r="H37" s="66"/>
      <c r="I37" s="66"/>
    </row>
    <row r="38" spans="1:9" x14ac:dyDescent="0.25">
      <c r="A38" s="65" t="s">
        <v>59</v>
      </c>
      <c r="B38" s="68">
        <v>8.5</v>
      </c>
      <c r="C38" s="68">
        <v>32.1</v>
      </c>
      <c r="D38" s="68">
        <v>22.9</v>
      </c>
      <c r="F38" s="65" t="s">
        <v>123</v>
      </c>
      <c r="G38" s="68">
        <v>2.6</v>
      </c>
      <c r="H38" s="68">
        <v>-3.4</v>
      </c>
      <c r="I38" s="68">
        <v>2.2000000000000002</v>
      </c>
    </row>
    <row r="39" spans="1:9" x14ac:dyDescent="0.25">
      <c r="A39" s="65" t="s">
        <v>102</v>
      </c>
      <c r="B39" s="68">
        <v>138.80000000000001</v>
      </c>
      <c r="C39" s="68">
        <v>832.8</v>
      </c>
      <c r="D39" s="68">
        <v>-1102.0999999999999</v>
      </c>
      <c r="F39" s="65" t="s">
        <v>124</v>
      </c>
      <c r="G39" s="68">
        <v>-119.5</v>
      </c>
      <c r="H39" s="68">
        <v>61.6</v>
      </c>
      <c r="I39" s="68">
        <v>-51.8</v>
      </c>
    </row>
    <row r="40" spans="1:9" x14ac:dyDescent="0.25">
      <c r="A40" s="65" t="s">
        <v>103</v>
      </c>
      <c r="B40" s="68">
        <v>4.0999999999999996</v>
      </c>
      <c r="C40" s="68">
        <v>0.1</v>
      </c>
      <c r="D40" s="68">
        <v>-12.2</v>
      </c>
      <c r="F40" s="65" t="s">
        <v>105</v>
      </c>
      <c r="G40" s="68">
        <v>263.7</v>
      </c>
      <c r="H40" s="68">
        <v>144.19999999999999</v>
      </c>
      <c r="I40" s="68">
        <v>205.8</v>
      </c>
    </row>
    <row r="41" spans="1:9" x14ac:dyDescent="0.25">
      <c r="A41" s="65" t="s">
        <v>104</v>
      </c>
      <c r="B41" s="68">
        <v>1256.2</v>
      </c>
      <c r="C41" s="68">
        <v>-1152.0999999999999</v>
      </c>
      <c r="D41" s="68">
        <v>57.1</v>
      </c>
      <c r="F41" s="65" t="s">
        <v>106</v>
      </c>
      <c r="G41" s="67">
        <v>144.19999999999999</v>
      </c>
      <c r="H41" s="67">
        <v>205.8</v>
      </c>
      <c r="I41" s="67">
        <v>154</v>
      </c>
    </row>
    <row r="42" spans="1:9" x14ac:dyDescent="0.25">
      <c r="A42" s="65" t="s">
        <v>105</v>
      </c>
      <c r="B42" s="68">
        <v>154</v>
      </c>
      <c r="C42" s="68">
        <v>1410.2</v>
      </c>
      <c r="D42" s="68">
        <v>258.10000000000002</v>
      </c>
      <c r="F42" s="65" t="s">
        <v>107</v>
      </c>
      <c r="G42" s="66"/>
      <c r="H42" s="66"/>
      <c r="I42" s="66"/>
    </row>
    <row r="43" spans="1:9" x14ac:dyDescent="0.25">
      <c r="A43" s="65" t="s">
        <v>106</v>
      </c>
      <c r="B43" s="67">
        <v>1410.2</v>
      </c>
      <c r="C43" s="67">
        <v>258.10000000000002</v>
      </c>
      <c r="D43" s="67">
        <v>315.2</v>
      </c>
      <c r="F43" s="65" t="s">
        <v>58</v>
      </c>
      <c r="G43" s="67">
        <v>-148.5</v>
      </c>
      <c r="H43" s="67">
        <v>-148.80000000000001</v>
      </c>
      <c r="I43" s="67">
        <v>-154.19999999999999</v>
      </c>
    </row>
    <row r="44" spans="1:9" x14ac:dyDescent="0.25">
      <c r="A44" s="65" t="s">
        <v>107</v>
      </c>
      <c r="B44" s="66"/>
      <c r="C44" s="66"/>
      <c r="D44" s="66"/>
      <c r="F44" s="65" t="s">
        <v>125</v>
      </c>
      <c r="G44" s="67">
        <v>-275.7</v>
      </c>
      <c r="H44" s="67">
        <v>-261.2</v>
      </c>
      <c r="I44" s="67">
        <v>-272.2</v>
      </c>
    </row>
    <row r="45" spans="1:9" x14ac:dyDescent="0.25">
      <c r="A45" s="65" t="s">
        <v>58</v>
      </c>
      <c r="B45" s="67">
        <v>-139.4</v>
      </c>
      <c r="C45" s="67">
        <v>-134.30000000000001</v>
      </c>
      <c r="D45" s="67">
        <v>-224.3</v>
      </c>
    </row>
    <row r="46" spans="1:9" x14ac:dyDescent="0.25">
      <c r="A46" s="65" t="s">
        <v>108</v>
      </c>
      <c r="B46" s="67">
        <v>-245.6</v>
      </c>
      <c r="C46" s="67">
        <v>-351</v>
      </c>
      <c r="D46" s="67">
        <v>-362.2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E12" sqref="E12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v>0.21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1.1000000000000001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2">
        <f>'CDW DCF'!D59</f>
        <v>24039.204377999999</v>
      </c>
      <c r="D12" s="2"/>
      <c r="E12" s="2" t="s">
        <v>33</v>
      </c>
      <c r="F12" s="2"/>
      <c r="G12" s="22">
        <f>'CDW DCF'!D56</f>
        <v>1601.8999999999996</v>
      </c>
      <c r="H12" s="2"/>
      <c r="I12" s="2" t="s">
        <v>45</v>
      </c>
      <c r="J12" s="2"/>
      <c r="K12" s="22">
        <f>G12+C12</f>
        <v>25641.104377999996</v>
      </c>
      <c r="L12" s="2"/>
    </row>
    <row r="13" spans="1:12" x14ac:dyDescent="0.25">
      <c r="A13" s="2" t="s">
        <v>46</v>
      </c>
      <c r="B13" s="2"/>
      <c r="C13" s="45">
        <f>C12/K12</f>
        <v>0.93752609184125379</v>
      </c>
      <c r="D13" s="2"/>
      <c r="E13" s="2" t="s">
        <v>47</v>
      </c>
      <c r="F13" s="2"/>
      <c r="G13" s="46">
        <f>G12/K12</f>
        <v>6.2473908158746309E-2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0.10300000000000001</v>
      </c>
      <c r="D14" s="2"/>
      <c r="E14" s="2" t="s">
        <v>49</v>
      </c>
      <c r="F14" s="2"/>
      <c r="G14" s="46">
        <v>4.4999999999999998E-2</v>
      </c>
      <c r="H14" s="2"/>
      <c r="I14" s="48" t="s">
        <v>1</v>
      </c>
      <c r="J14" s="49"/>
      <c r="K14" s="50">
        <f>C13*C14+G14*G13*(1-D6)</f>
        <v>9.8786134894692582E-2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2023-06-16T20:09:15Z</dcterms:modified>
</cp:coreProperties>
</file>