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3EC0FC18-778E-4119-A2EB-D4DC5B875A49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EXPE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" i="1" l="1"/>
  <c r="D70" i="1"/>
  <c r="D69" i="1"/>
  <c r="D72" i="1"/>
  <c r="J60" i="1"/>
  <c r="K60" i="1"/>
  <c r="M61" i="1"/>
  <c r="I60" i="1"/>
  <c r="I61" i="1" s="1"/>
  <c r="I34" i="1"/>
  <c r="J59" i="1"/>
  <c r="K59" i="1"/>
  <c r="L59" i="1"/>
  <c r="M59" i="1"/>
  <c r="N59" i="1"/>
  <c r="J61" i="1"/>
  <c r="L61" i="1"/>
  <c r="N61" i="1"/>
  <c r="J43" i="1"/>
  <c r="K43" i="1"/>
  <c r="L43" i="1"/>
  <c r="M43" i="1"/>
  <c r="N43" i="1"/>
  <c r="I43" i="1"/>
  <c r="I41" i="1"/>
  <c r="J41" i="1"/>
  <c r="L41" i="1"/>
  <c r="M41" i="1"/>
  <c r="N41" i="1"/>
  <c r="J34" i="1"/>
  <c r="K34" i="1"/>
  <c r="L34" i="1"/>
  <c r="M34" i="1"/>
  <c r="N34" i="1"/>
  <c r="O34" i="1"/>
  <c r="P34" i="1"/>
  <c r="J28" i="1"/>
  <c r="K28" i="1"/>
  <c r="L28" i="1"/>
  <c r="M28" i="1"/>
  <c r="N28" i="1"/>
  <c r="O28" i="1"/>
  <c r="P28" i="1"/>
  <c r="I28" i="1"/>
  <c r="I32" i="1"/>
  <c r="J32" i="1"/>
  <c r="K32" i="1"/>
  <c r="L32" i="1"/>
  <c r="M32" i="1"/>
  <c r="N32" i="1"/>
  <c r="I29" i="1"/>
  <c r="J29" i="1"/>
  <c r="K29" i="1"/>
  <c r="L29" i="1"/>
  <c r="M29" i="1"/>
  <c r="N29" i="1"/>
  <c r="I26" i="1"/>
  <c r="J26" i="1"/>
  <c r="K26" i="1"/>
  <c r="L26" i="1"/>
  <c r="M26" i="1"/>
  <c r="N26" i="1"/>
  <c r="I23" i="1"/>
  <c r="J23" i="1"/>
  <c r="K23" i="1"/>
  <c r="L23" i="1"/>
  <c r="M23" i="1"/>
  <c r="N23" i="1"/>
  <c r="I20" i="1"/>
  <c r="J20" i="1"/>
  <c r="K20" i="1"/>
  <c r="L20" i="1"/>
  <c r="M20" i="1"/>
  <c r="N20" i="1"/>
  <c r="I54" i="1"/>
  <c r="J54" i="1"/>
  <c r="K54" i="1"/>
  <c r="L54" i="1"/>
  <c r="M54" i="1"/>
  <c r="N54" i="1"/>
  <c r="I51" i="1"/>
  <c r="J51" i="1"/>
  <c r="K51" i="1"/>
  <c r="L51" i="1"/>
  <c r="M51" i="1"/>
  <c r="N51" i="1"/>
  <c r="J11" i="1"/>
  <c r="K11" i="1"/>
  <c r="L11" i="1" s="1"/>
  <c r="M11" i="1" s="1"/>
  <c r="N11" i="1" s="1"/>
  <c r="O11" i="1" s="1"/>
  <c r="P11" i="1" s="1"/>
  <c r="Q11" i="1" s="1"/>
  <c r="R11" i="1" s="1"/>
  <c r="R32" i="1" s="1"/>
  <c r="I11" i="1"/>
  <c r="G63" i="1"/>
  <c r="H63" i="1"/>
  <c r="F63" i="1"/>
  <c r="D63" i="1"/>
  <c r="E63" i="1"/>
  <c r="C63" i="1"/>
  <c r="F59" i="1"/>
  <c r="D61" i="1"/>
  <c r="E61" i="1"/>
  <c r="F61" i="1"/>
  <c r="G61" i="1"/>
  <c r="H61" i="1"/>
  <c r="C61" i="1"/>
  <c r="G60" i="1"/>
  <c r="H60" i="1"/>
  <c r="F60" i="1"/>
  <c r="D59" i="1"/>
  <c r="E59" i="1"/>
  <c r="G59" i="1"/>
  <c r="H59" i="1"/>
  <c r="C59" i="1"/>
  <c r="G56" i="1"/>
  <c r="H56" i="1"/>
  <c r="F56" i="1"/>
  <c r="D56" i="1"/>
  <c r="E56" i="1"/>
  <c r="C56" i="1"/>
  <c r="G53" i="1"/>
  <c r="H53" i="1"/>
  <c r="F53" i="1"/>
  <c r="D53" i="1"/>
  <c r="E53" i="1"/>
  <c r="C53" i="1"/>
  <c r="G50" i="1"/>
  <c r="H50" i="1"/>
  <c r="F50" i="1"/>
  <c r="D50" i="1"/>
  <c r="E50" i="1"/>
  <c r="C50" i="1"/>
  <c r="G46" i="1"/>
  <c r="H46" i="1"/>
  <c r="F46" i="1"/>
  <c r="D46" i="1"/>
  <c r="E46" i="1"/>
  <c r="C46" i="1"/>
  <c r="G38" i="1"/>
  <c r="H38" i="1"/>
  <c r="H39" i="1" s="1"/>
  <c r="F38" i="1"/>
  <c r="D38" i="1"/>
  <c r="E38" i="1"/>
  <c r="C38" i="1"/>
  <c r="D34" i="1"/>
  <c r="E34" i="1"/>
  <c r="F34" i="1"/>
  <c r="G34" i="1"/>
  <c r="H34" i="1"/>
  <c r="C34" i="1"/>
  <c r="G31" i="1"/>
  <c r="H31" i="1"/>
  <c r="H32" i="1" s="1"/>
  <c r="F31" i="1"/>
  <c r="F32" i="1" s="1"/>
  <c r="D31" i="1"/>
  <c r="E31" i="1"/>
  <c r="C31" i="1"/>
  <c r="C32" i="1" s="1"/>
  <c r="G28" i="1"/>
  <c r="H28" i="1"/>
  <c r="F28" i="1"/>
  <c r="D28" i="1"/>
  <c r="E28" i="1"/>
  <c r="C28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F19" i="1"/>
  <c r="D19" i="1"/>
  <c r="E19" i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D12" i="1" s="1"/>
  <c r="E12" i="1"/>
  <c r="D32" i="1"/>
  <c r="G32" i="1"/>
  <c r="E32" i="1"/>
  <c r="D39" i="1"/>
  <c r="F39" i="1"/>
  <c r="G39" i="1"/>
  <c r="E39" i="1"/>
  <c r="O51" i="1" l="1"/>
  <c r="Q54" i="1"/>
  <c r="O54" i="1"/>
  <c r="Q20" i="1"/>
  <c r="O20" i="1"/>
  <c r="Q23" i="1"/>
  <c r="O23" i="1"/>
  <c r="Q26" i="1"/>
  <c r="O26" i="1"/>
  <c r="O29" i="1"/>
  <c r="Q32" i="1"/>
  <c r="O32" i="1"/>
  <c r="P51" i="1"/>
  <c r="R54" i="1"/>
  <c r="P54" i="1"/>
  <c r="R20" i="1"/>
  <c r="P20" i="1"/>
  <c r="R23" i="1"/>
  <c r="P23" i="1"/>
  <c r="R26" i="1"/>
  <c r="P26" i="1"/>
  <c r="P29" i="1"/>
  <c r="P32" i="1"/>
  <c r="I56" i="1"/>
  <c r="I63" i="1" s="1"/>
  <c r="I38" i="1"/>
  <c r="C39" i="1"/>
  <c r="L70" i="1"/>
  <c r="L69" i="1" s="1"/>
  <c r="L72" i="1"/>
  <c r="L73" i="1" s="1"/>
  <c r="H20" i="1"/>
  <c r="H12" i="1"/>
  <c r="E35" i="1"/>
  <c r="G12" i="2"/>
  <c r="D73" i="1"/>
  <c r="C12" i="2" s="1"/>
  <c r="G29" i="1" l="1"/>
  <c r="F29" i="1"/>
  <c r="C29" i="1"/>
  <c r="D29" i="1"/>
  <c r="E29" i="1"/>
  <c r="H29" i="1"/>
  <c r="F26" i="1"/>
  <c r="D26" i="1"/>
  <c r="H26" i="1"/>
  <c r="G23" i="1"/>
  <c r="F23" i="1"/>
  <c r="C23" i="1"/>
  <c r="D23" i="1"/>
  <c r="E23" i="1"/>
  <c r="H23" i="1"/>
  <c r="G20" i="1"/>
  <c r="F20" i="1"/>
  <c r="C20" i="1"/>
  <c r="D20" i="1"/>
  <c r="E20" i="1"/>
  <c r="C14" i="2"/>
  <c r="C54" i="1"/>
  <c r="D54" i="1"/>
  <c r="E54" i="1"/>
  <c r="F54" i="1"/>
  <c r="G54" i="1"/>
  <c r="H54" i="1"/>
  <c r="G51" i="1"/>
  <c r="H51" i="1"/>
  <c r="C51" i="1"/>
  <c r="E51" i="1"/>
  <c r="C35" i="1"/>
  <c r="G35" i="1"/>
  <c r="G26" i="1"/>
  <c r="D57" i="1"/>
  <c r="E57" i="1"/>
  <c r="D51" i="1"/>
  <c r="C26" i="1"/>
  <c r="E26" i="1"/>
  <c r="D16" i="1"/>
  <c r="D37" i="1" s="1"/>
  <c r="D41" i="1" s="1"/>
  <c r="C16" i="1"/>
  <c r="C37" i="1" s="1"/>
  <c r="C41" i="1" s="1"/>
  <c r="E16" i="1"/>
  <c r="E37" i="1" s="1"/>
  <c r="F57" i="1"/>
  <c r="G57" i="1"/>
  <c r="H57" i="1"/>
  <c r="F51" i="1"/>
  <c r="F16" i="1"/>
  <c r="F37" i="1" s="1"/>
  <c r="F41" i="1" s="1"/>
  <c r="G16" i="1"/>
  <c r="G37" i="1" s="1"/>
  <c r="G41" i="1" s="1"/>
  <c r="H16" i="1"/>
  <c r="H37" i="1" s="1"/>
  <c r="H41" i="1" s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E43" i="1" l="1"/>
  <c r="E41" i="1"/>
  <c r="C43" i="1"/>
  <c r="F17" i="1"/>
  <c r="D17" i="1"/>
  <c r="I35" i="1"/>
  <c r="H17" i="1"/>
  <c r="C57" i="1"/>
  <c r="K12" i="2"/>
  <c r="I16" i="1"/>
  <c r="G17" i="1"/>
  <c r="E17" i="1"/>
  <c r="C17" i="1"/>
  <c r="H35" i="1"/>
  <c r="F35" i="1"/>
  <c r="D35" i="1"/>
  <c r="C47" i="1" l="1"/>
  <c r="G43" i="1"/>
  <c r="I14" i="1"/>
  <c r="C13" i="2"/>
  <c r="G13" i="2"/>
  <c r="D43" i="1"/>
  <c r="F43" i="1"/>
  <c r="H43" i="1"/>
  <c r="F47" i="1" l="1"/>
  <c r="H47" i="1"/>
  <c r="E47" i="1"/>
  <c r="G47" i="1"/>
  <c r="D47" i="1"/>
  <c r="G44" i="1"/>
  <c r="C44" i="1"/>
  <c r="E44" i="1"/>
  <c r="K14" i="2"/>
  <c r="E5" i="1" s="1"/>
  <c r="D44" i="1"/>
  <c r="H44" i="1"/>
  <c r="F44" i="1"/>
  <c r="I37" i="1" l="1"/>
  <c r="I44" i="1" l="1"/>
  <c r="I46" i="1"/>
  <c r="I64" i="1" l="1"/>
  <c r="J46" i="1" l="1"/>
  <c r="K46" i="1" l="1"/>
  <c r="L46" i="1" l="1"/>
  <c r="M46" i="1" l="1"/>
  <c r="N46" i="1" l="1"/>
  <c r="J56" i="1" l="1"/>
  <c r="J63" i="1" s="1"/>
  <c r="J64" i="1" s="1"/>
  <c r="J35" i="1"/>
  <c r="J44" i="1"/>
  <c r="J38" i="1"/>
  <c r="J16" i="1"/>
  <c r="J14" i="1" l="1"/>
  <c r="J37" i="1"/>
  <c r="K16" i="1"/>
  <c r="K14" i="1" s="1"/>
  <c r="K56" i="1"/>
  <c r="K63" i="1" s="1"/>
  <c r="K44" i="1"/>
  <c r="K38" i="1"/>
  <c r="K41" i="1" s="1"/>
  <c r="K61" i="1" s="1"/>
  <c r="K35" i="1"/>
  <c r="K64" i="1"/>
  <c r="K37" i="1" l="1"/>
  <c r="L16" i="1"/>
  <c r="L44" i="1"/>
  <c r="L56" i="1"/>
  <c r="L63" i="1" s="1"/>
  <c r="L38" i="1"/>
  <c r="L14" i="1"/>
  <c r="L35" i="1"/>
  <c r="L37" i="1" l="1"/>
  <c r="L64" i="1"/>
  <c r="M44" i="1"/>
  <c r="M38" i="1"/>
  <c r="M35" i="1"/>
  <c r="M56" i="1"/>
  <c r="M63" i="1" s="1"/>
  <c r="M16" i="1"/>
  <c r="M14" i="1" s="1"/>
  <c r="N16" i="1"/>
  <c r="N38" i="1"/>
  <c r="N14" i="1"/>
  <c r="N35" i="1"/>
  <c r="N44" i="1"/>
  <c r="N56" i="1"/>
  <c r="N63" i="1" s="1"/>
  <c r="N64" i="1" s="1"/>
  <c r="O16" i="1"/>
  <c r="O14" i="1" s="1"/>
  <c r="O56" i="1"/>
  <c r="O63" i="1" s="1"/>
  <c r="O35" i="1"/>
  <c r="O38" i="1"/>
  <c r="P16" i="1"/>
  <c r="P56" i="1"/>
  <c r="P38" i="1"/>
  <c r="P35" i="1"/>
  <c r="N37" i="1" l="1"/>
  <c r="O37" i="1"/>
  <c r="M37" i="1"/>
  <c r="M64" i="1"/>
  <c r="P37" i="1"/>
  <c r="P14" i="1"/>
  <c r="Q16" i="1"/>
  <c r="Q56" i="1"/>
  <c r="Q14" i="1"/>
  <c r="Q38" i="1"/>
  <c r="Q50" i="1"/>
  <c r="Q28" i="1" s="1"/>
  <c r="R56" i="1"/>
  <c r="R38" i="1"/>
  <c r="R50" i="1"/>
  <c r="R28" i="1" s="1"/>
  <c r="R16" i="1"/>
  <c r="Q34" i="1" l="1"/>
  <c r="Q35" i="1" s="1"/>
  <c r="Q29" i="1"/>
  <c r="P43" i="1"/>
  <c r="P41" i="1"/>
  <c r="R34" i="1"/>
  <c r="R35" i="1" s="1"/>
  <c r="R29" i="1"/>
  <c r="O41" i="1"/>
  <c r="O43" i="1"/>
  <c r="Q37" i="1"/>
  <c r="R37" i="1"/>
  <c r="R14" i="1"/>
  <c r="R43" i="1" l="1"/>
  <c r="R41" i="1"/>
  <c r="Q41" i="1"/>
  <c r="Q43" i="1"/>
  <c r="O61" i="1"/>
  <c r="P46" i="1"/>
  <c r="P59" i="1" s="1"/>
  <c r="P44" i="1"/>
  <c r="O59" i="1"/>
  <c r="O64" i="1" s="1"/>
  <c r="O46" i="1"/>
  <c r="O44" i="1"/>
  <c r="P63" i="1" l="1"/>
  <c r="P64" i="1" s="1"/>
  <c r="R46" i="1"/>
  <c r="R59" i="1" s="1"/>
  <c r="R63" i="1" s="1"/>
  <c r="R44" i="1"/>
  <c r="P61" i="1"/>
  <c r="Q46" i="1"/>
  <c r="Q61" i="1" s="1"/>
  <c r="Q44" i="1"/>
  <c r="R61" i="1" l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Q59" i="1"/>
  <c r="Q63" i="1" s="1"/>
  <c r="Q64" i="1" s="1"/>
  <c r="F66" i="1"/>
  <c r="H69" i="1" s="1"/>
  <c r="C66" i="1"/>
  <c r="C67" i="1" s="1"/>
  <c r="R64" i="1"/>
  <c r="G69" i="1" l="1"/>
  <c r="G71" i="1" s="1"/>
  <c r="G74" i="1" s="1"/>
  <c r="H71" i="1"/>
  <c r="H74" i="1" s="1"/>
  <c r="D74" i="1" l="1"/>
  <c r="L68" i="1" s="1"/>
  <c r="J6" i="1" l="1"/>
  <c r="N5" i="1" s="1"/>
</calcChain>
</file>

<file path=xl/sharedStrings.xml><?xml version="1.0" encoding="utf-8"?>
<sst xmlns="http://schemas.openxmlformats.org/spreadsheetml/2006/main" count="379" uniqueCount="205">
  <si>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</si>
  <si>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</si>
  <si>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</si>
  <si>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</si>
  <si>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</si>
  <si>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</si>
  <si>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</si>
  <si>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</si>
  <si>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</si>
  <si>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</si>
  <si>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</si>
  <si>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</si>
  <si>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</si>
  <si>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</si>
  <si>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</si>
  <si>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</si>
  <si>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</si>
  <si>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</si>
  <si>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</si>
  <si>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</si>
  <si>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</si>
  <si>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</si>
  <si>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</si>
  <si>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</si>
  <si>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</si>
  <si>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</si>
  <si>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</si>
  <si>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</si>
  <si>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</si>
  <si>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</si>
  <si>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</si>
  <si>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</si>
  <si>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</si>
  <si>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</si>
  <si>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</si>
  <si>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</si>
  <si>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</si>
  <si>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</si>
  <si>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</si>
  <si>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</si>
  <si>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</si>
  <si>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</si>
  <si>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</si>
  <si>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</si>
  <si>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</si>
  <si>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</si>
  <si>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</si>
  <si>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</si>
  <si>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</si>
  <si>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</si>
  <si>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</si>
  <si>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</si>
  <si>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</si>
  <si>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</si>
  <si>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</si>
  <si>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</si>
  <si>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</si>
  <si>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Other</t>
  </si>
  <si>
    <t>Amortization</t>
  </si>
  <si>
    <t>CONSOLIDATED STATEMENTS OF OPERATIONS</t>
  </si>
  <si>
    <t/>
  </si>
  <si>
    <t>Year ended December 31,</t>
  </si>
  <si>
    <t>(In millions, except for per share data)</t>
  </si>
  <si>
    <t>Costs and expenses:</t>
  </si>
  <si>
    <t>Cost of revenue (exclusive of depreciation and</t>
  </si>
  <si>
    <t>amortization shown separately below) (1)</t>
  </si>
  <si>
    <t>Selling and marketing (1)</t>
  </si>
  <si>
    <t>Technology and content (1)</t>
  </si>
  <si>
    <t>General and administrative (1)</t>
  </si>
  <si>
    <t>Depreciation and amortization</t>
  </si>
  <si>
    <t>Impairment of goodwill</t>
  </si>
  <si>
    <t>Intangible and other long-term asset impairment</t>
  </si>
  <si>
    <t>Legal reserves, occupancy tax and other</t>
  </si>
  <si>
    <t>Restructuring and related reorganization charges</t>
  </si>
  <si>
    <t>Operating income (loss)</t>
  </si>
  <si>
    <t>Other income (expense):</t>
  </si>
  <si>
    <t>Interest income</t>
  </si>
  <si>
    <t>Interest expense</t>
  </si>
  <si>
    <t>Gain (loss) on debt extinguishment, net</t>
  </si>
  <si>
    <t>Gain (loss) on sale of business, net</t>
  </si>
  <si>
    <t>Other, net</t>
  </si>
  <si>
    <t>Total other expense, net</t>
  </si>
  <si>
    <t>Income (loss) before income taxes</t>
  </si>
  <si>
    <t>Provision for income taxes</t>
  </si>
  <si>
    <t>Net income (loss)</t>
  </si>
  <si>
    <t>Net (income) loss attributable to non-controlling</t>
  </si>
  <si>
    <t>interests</t>
  </si>
  <si>
    <t>Net income (loss) attributable to Expedia Group, Inc.</t>
  </si>
  <si>
    <t>Preferred stock dividend</t>
  </si>
  <si>
    <t>Loss on redemption of preferred stock</t>
  </si>
  <si>
    <t>common stockholders</t>
  </si>
  <si>
    <t>Earnings (loss) per share attributable to Expedia</t>
  </si>
  <si>
    <t>Group, Inc. available to common stockholders:</t>
  </si>
  <si>
    <t>Basic</t>
  </si>
  <si>
    <t>Diluted</t>
  </si>
  <si>
    <t>Shares used in computing earnings (loss) per share</t>
  </si>
  <si>
    <t>(000's):</t>
  </si>
  <si>
    <t>CONSOLIDATED STATEMENTS OF CASH FLOWS</t>
  </si>
  <si>
    <t>(In millions)</t>
  </si>
  <si>
    <t>Operating activities:</t>
  </si>
  <si>
    <t>Adjustments to reconcile net income (loss) to net cash provided by operating</t>
  </si>
  <si>
    <t>activities:</t>
  </si>
  <si>
    <t>Depreciation of property and equipment, including internal-use software and</t>
  </si>
  <si>
    <t>website development</t>
  </si>
  <si>
    <t>Amortization of stock-based compensation</t>
  </si>
  <si>
    <t>Amortization of intangible assets</t>
  </si>
  <si>
    <t>Impairment of goodwill, intangible and other long-term assets</t>
  </si>
  <si>
    <t>Deferred income taxes</t>
  </si>
  <si>
    <t>Foreign exchange loss on cash, restricted cash and short-term investments,</t>
  </si>
  <si>
    <t>net</t>
  </si>
  <si>
    <t>Realized (gain) loss on foreign currency forwards, net</t>
  </si>
  <si>
    <t>Loss on minority equity investments, net</t>
  </si>
  <si>
    <t>(Gain) loss on debt extinguishment, net</t>
  </si>
  <si>
    <t>(Gain) loss on sale of business, net</t>
  </si>
  <si>
    <t>Provision for credit losses and other, net</t>
  </si>
  <si>
    <t>Changes in operating assets and liabilities, net of effects from acquisitions and</t>
  </si>
  <si>
    <t>dispositions:</t>
  </si>
  <si>
    <t>Accounts receivable</t>
  </si>
  <si>
    <t>Prepaid expenses and other assets</t>
  </si>
  <si>
    <t>Accounts payable, merchant</t>
  </si>
  <si>
    <t>Accounts payable, other, accrued expenses and other liabilities</t>
  </si>
  <si>
    <t>Tax payable/receivable, net</t>
  </si>
  <si>
    <t>Deferred merchant bookings</t>
  </si>
  <si>
    <t>Deferred revenue</t>
  </si>
  <si>
    <t>Net cash provided by (used in) operating activities</t>
  </si>
  <si>
    <t>Investing activities:</t>
  </si>
  <si>
    <t>Capital expenditures, including internal-use software and website</t>
  </si>
  <si>
    <t>development</t>
  </si>
  <si>
    <t>Purchases of investments</t>
  </si>
  <si>
    <t>Sales and maturities of investments</t>
  </si>
  <si>
    <t>Cash and restricted cash divested from sale of business, net of proceeds</t>
  </si>
  <si>
    <t>Proceeds from initial exchange of cross-currency interest rate swaps</t>
  </si>
  <si>
    <t>Payments for initial exchange of cross-currency interest rate swaps</t>
  </si>
  <si>
    <t>Net cash used in investing activities</t>
  </si>
  <si>
    <t>Financing activities:</t>
  </si>
  <si>
    <t>Revolving credit facility borrowings</t>
  </si>
  <si>
    <t>Revolving credit facility repayments</t>
  </si>
  <si>
    <t>Proceeds from issuance of long-term debt, net of issuance costs</t>
  </si>
  <si>
    <t>Payment of long-term debt</t>
  </si>
  <si>
    <t>Debt extinguishment costs</t>
  </si>
  <si>
    <t>Net proceeds from issuance of preferred stock and warrants</t>
  </si>
  <si>
    <t>Redemption of preferred stock</t>
  </si>
  <si>
    <t>Purchases of treasury stock</t>
  </si>
  <si>
    <t>Payment of dividends to common and preferred stockholders</t>
  </si>
  <si>
    <t>Proceeds from exercise of equity awards and employee stock purchase plan</t>
  </si>
  <si>
    <t>Net cash provided by (used in) financing activities</t>
  </si>
  <si>
    <t>Effect of exchange rate changes on cash, cash equivalents and restricted</t>
  </si>
  <si>
    <t>cash and cash equivalents</t>
  </si>
  <si>
    <t>Net increase in cash, cash equivalents and restricted cash and cash</t>
  </si>
  <si>
    <t>equivalents</t>
  </si>
  <si>
    <t>Cash, cash equivalents and restricted cash and cash equivalents at beginning</t>
  </si>
  <si>
    <t>of year</t>
  </si>
  <si>
    <t>Cash, cash equivalents and restricted cash and cash equivalents at end of</t>
  </si>
  <si>
    <t>year</t>
  </si>
  <si>
    <t>Supplemental cash flow information</t>
  </si>
  <si>
    <t>Cash paid for interest</t>
  </si>
  <si>
    <t>Income tax payments, net</t>
  </si>
  <si>
    <t>Cost of revenue (1)</t>
  </si>
  <si>
    <t>Impairment of intangible assets</t>
  </si>
  <si>
    <t>Restructuring and related reorganization</t>
  </si>
  <si>
    <t>charges</t>
  </si>
  <si>
    <t>Income before income taxes</t>
  </si>
  <si>
    <t>Net (income) loss attributable to</t>
  </si>
  <si>
    <t>non-controlling interests</t>
  </si>
  <si>
    <t>Net income attributable to Expedia Group,</t>
  </si>
  <si>
    <t>Inc.</t>
  </si>
  <si>
    <t>Earnings per share attributable to Expedia</t>
  </si>
  <si>
    <t>Group, Inc. available to common</t>
  </si>
  <si>
    <t>stockholders:</t>
  </si>
  <si>
    <t>Shares used in computing earnings per</t>
  </si>
  <si>
    <t>share (000's):</t>
  </si>
  <si>
    <t>December 31,</t>
  </si>
  <si>
    <t>Adjustments to reconcile net income to net cash</t>
  </si>
  <si>
    <t>provided by operating activities:</t>
  </si>
  <si>
    <t>Depreciation of property and equipment, including</t>
  </si>
  <si>
    <t>internal-use software and website development</t>
  </si>
  <si>
    <t>Amortization and impairment of intangible assets</t>
  </si>
  <si>
    <t>Foreign exchange (gain) loss on cash, restricted cash</t>
  </si>
  <si>
    <t>and short-term investments, net</t>
  </si>
  <si>
    <t>Realized (gain) loss on foreign currency forwards</t>
  </si>
  <si>
    <t>(Gain) loss on minority equity investments, net</t>
  </si>
  <si>
    <t>Changes in operating assets and liabilities, net of</t>
  </si>
  <si>
    <t>effects from acquisitions:</t>
  </si>
  <si>
    <t>Accounts payable, other, accrued expenses and other</t>
  </si>
  <si>
    <t>liabilities</t>
  </si>
  <si>
    <t>Net cash provided by operating activities</t>
  </si>
  <si>
    <t>Capital expenditures, including internal-use software</t>
  </si>
  <si>
    <t>and website development</t>
  </si>
  <si>
    <t>Acquisitions, net of cash and restricted cash acquired</t>
  </si>
  <si>
    <t>Proceeds from issuance of long-term debt, net of</t>
  </si>
  <si>
    <t>issuance costs</t>
  </si>
  <si>
    <t>Payment of Liberty Expedia Exchangeable Debentures</t>
  </si>
  <si>
    <t>Proceeds from issuance of treasury stock</t>
  </si>
  <si>
    <t>Payment of dividends to stockholders</t>
  </si>
  <si>
    <t>Proceeds from exercise of equity awards and employee</t>
  </si>
  <si>
    <t>stock purchase plan</t>
  </si>
  <si>
    <t>Changes in controlled subsidiaries, net</t>
  </si>
  <si>
    <t>Effect of exchange rate changes on cash, cash</t>
  </si>
  <si>
    <t>equivalents and restricted cash and cash equivalents</t>
  </si>
  <si>
    <t>Net increase (decrease) in cash, cash equivalents and</t>
  </si>
  <si>
    <t>restricted cash and cash equivalents</t>
  </si>
  <si>
    <t>Cash, cash equivalents and restricted cash and cash</t>
  </si>
  <si>
    <t>at beginning of year</t>
  </si>
  <si>
    <t>equivalents at end of year</t>
  </si>
  <si>
    <t>Expedia Group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</si>
</sst>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%"/>
    <numFmt numFmtId="166" formatCode="_(&quot;$&quot;* #,##0_);_(&quot;$&quot;* \(#,##0\);_(&quot;$&quot;* &quot;-&quot;_);_(@_)"/>
    <numFmt numFmtId="167" formatCode="_(* #,##0.00_);_(* \(#,##0.00\);_(* &quot;-&quot;??_);_(@_)"/>
    <numFmt numFmtId="168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3" fontId="3" fillId="2" borderId="0" xfId="1" applyNumberFormat="1" applyFont="1" applyFill="1"/>
    <xf numFmtId="0" fontId="0" fillId="7" borderId="0" xfId="0" applyFill="1" applyAlignment="1">
      <alignment horizontal="right"/>
    </xf>
    <xf numFmtId="0" fontId="7" fillId="5" borderId="0" xfId="0" applyFont="1" applyFill="1"/>
    <xf numFmtId="164" fontId="7" fillId="5" borderId="0" xfId="1" applyNumberFormat="1" applyFont="1" applyFill="1"/>
    <xf numFmtId="0" fontId="10" fillId="5" borderId="0" xfId="0" applyFont="1" applyFill="1"/>
    <xf numFmtId="164" fontId="10" fillId="5" borderId="0" xfId="1" applyNumberFormat="1" applyFont="1" applyFill="1"/>
    <xf numFmtId="164" fontId="10" fillId="5" borderId="4" xfId="0" applyNumberFormat="1" applyFont="1" applyFill="1" applyBorder="1"/>
    <xf numFmtId="164" fontId="3" fillId="5" borderId="0" xfId="1" applyNumberFormat="1" applyFont="1" applyFill="1"/>
    <xf numFmtId="0" fontId="2" fillId="4" borderId="4" xfId="0" applyFont="1" applyFill="1" applyBorder="1"/>
    <xf numFmtId="1" fontId="0" fillId="2" borderId="4" xfId="0" applyNumberFormat="1" applyFill="1" applyBorder="1"/>
    <xf numFmtId="164" fontId="10" fillId="5" borderId="4" xfId="1" applyNumberFormat="1" applyFont="1" applyFill="1" applyBorder="1"/>
    <xf numFmtId="164" fontId="10" fillId="5" borderId="0" xfId="1" applyNumberFormat="1" applyFont="1" applyFill="1" applyBorder="1"/>
    <xf numFmtId="0" fontId="0" fillId="2" borderId="4" xfId="0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3" fontId="0" fillId="2" borderId="4" xfId="0" applyNumberFormat="1" applyFill="1" applyBorder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0" xfId="1" applyNumberFormat="1" applyFont="1" applyFill="1" applyBorder="1"/>
    <xf numFmtId="10" fontId="10" fillId="5" borderId="4" xfId="0" applyNumberFormat="1" applyFont="1" applyFill="1" applyBorder="1"/>
    <xf numFmtId="0" fontId="2" fillId="3" borderId="4" xfId="0" applyFont="1" applyFill="1" applyBorder="1"/>
    <xf numFmtId="164" fontId="0" fillId="5" borderId="4" xfId="0" applyNumberFormat="1" applyFill="1" applyBorder="1"/>
    <xf numFmtId="0" fontId="3" fillId="2" borderId="0" xfId="1" applyNumberFormat="1" applyFont="1" applyFill="1"/>
    <xf numFmtId="0" fontId="2" fillId="4" borderId="0" xfId="0" applyFont="1" applyFill="1"/>
    <xf numFmtId="164" fontId="7" fillId="5" borderId="0" xfId="1" applyNumberFormat="1" applyFont="1" applyFill="1" applyBorder="1"/>
    <xf numFmtId="164" fontId="10" fillId="5" borderId="0" xfId="0" applyNumberFormat="1" applyFont="1" applyFill="1"/>
    <xf numFmtId="0" fontId="2" fillId="3" borderId="0" xfId="0" applyFont="1" applyFill="1"/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166" fontId="11" fillId="0" borderId="0" xfId="0" applyNumberFormat="1" applyFont="1" applyAlignment="1">
      <alignment vertical="top"/>
    </xf>
    <xf numFmtId="37" fontId="11" fillId="0" borderId="0" xfId="0" applyNumberFormat="1" applyFont="1" applyAlignment="1">
      <alignment vertical="top"/>
    </xf>
    <xf numFmtId="167" fontId="11" fillId="0" borderId="0" xfId="0" applyNumberFormat="1" applyFont="1" applyAlignment="1">
      <alignment vertical="top"/>
    </xf>
    <xf numFmtId="168" fontId="11" fillId="0" borderId="0" xfId="0" applyNumberFormat="1" applyFont="1" applyAlignment="1">
      <alignment vertical="top"/>
    </xf>
    <xf numFmtId="39" fontId="11" fillId="0" borderId="0" xfId="0" applyNumberFormat="1" applyFont="1" applyAlignment="1">
      <alignment vertical="top"/>
    </xf>
    <xf numFmtId="0" fontId="11" fillId="0" borderId="0" xfId="0" applyFont="1" applyAlignment="1">
      <alignment vertical="top" shrinkToFit="1"/>
    </xf>
    <xf numFmtId="37" fontId="3" fillId="2" borderId="0" xfId="1" applyNumberFormat="1" applyFont="1" applyFill="1"/>
    <xf numFmtId="1" fontId="1" fillId="2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5"/>
  <sheetViews>
    <sheetView tabSelected="1" topLeftCell="A61" workbookViewId="0">
      <selection activeCell="E69" sqref="E69"/>
    </sheetView>
  </sheetViews>
  <sheetFormatPr defaultRowHeight="15" x14ac:dyDescent="0.25"/>
  <cols>
    <col min="1" max="1" width="7.7109375" style="2" customWidth="1"/>
    <col min="2" max="2" width="17.140625" style="2" customWidth="1"/>
    <col min="3" max="3" width="9.140625" style="2"/>
    <col min="4" max="4" width="11.140625" style="2" bestFit="1" customWidth="1"/>
    <col min="5" max="5" width="9.140625" style="2"/>
    <col min="6" max="6" width="10.7109375" style="2" customWidth="1"/>
    <col min="7" max="8" width="10.28515625" style="2" customWidth="1"/>
    <col min="9" max="18" width="10.85546875" style="2" customWidth="1"/>
    <col min="19" max="16384" width="9.140625" style="4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204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8.9359086158306095E-2</v>
      </c>
      <c r="G5" s="1"/>
      <c r="H5" s="1" t="s">
        <v>2</v>
      </c>
      <c r="I5" s="1"/>
      <c r="J5" s="7">
        <v>111.93</v>
      </c>
      <c r="K5" s="1"/>
      <c r="L5" s="1" t="s">
        <v>3</v>
      </c>
      <c r="M5" s="1"/>
      <c r="N5" s="62">
        <f>(J6/J5)-1</f>
        <v>0.31168062784478123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4">
        <f>D74</f>
        <v>146.81641267466637</v>
      </c>
      <c r="K6" s="1"/>
      <c r="L6" s="1" t="s">
        <v>53</v>
      </c>
      <c r="M6" s="1"/>
      <c r="N6" s="61">
        <v>45153</v>
      </c>
      <c r="O6" s="1"/>
      <c r="P6" s="1"/>
      <c r="Q6" s="1"/>
    </row>
    <row r="7" spans="1:86" x14ac:dyDescent="0.25">
      <c r="B7" s="61"/>
      <c r="C7" s="1"/>
      <c r="D7" s="1"/>
      <c r="E7" s="9"/>
      <c r="F7" s="1"/>
      <c r="G7" s="1"/>
      <c r="H7" s="1"/>
      <c r="I7" s="1"/>
      <c r="J7" s="1"/>
      <c r="K7" s="1"/>
      <c r="L7" s="53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73">
        <v>2023</v>
      </c>
      <c r="J10" s="89">
        <v>2024</v>
      </c>
      <c r="K10" s="89">
        <v>2025</v>
      </c>
      <c r="L10" s="89">
        <v>2026</v>
      </c>
      <c r="M10" s="89">
        <v>2027</v>
      </c>
      <c r="N10" s="89">
        <v>2028</v>
      </c>
      <c r="O10" s="89">
        <v>2029</v>
      </c>
      <c r="P10" s="89">
        <v>2030</v>
      </c>
      <c r="Q10" s="89">
        <v>2031</v>
      </c>
      <c r="R10" s="89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'Raw IS'!J6</f>
        <v>10060</v>
      </c>
      <c r="D11" s="12">
        <f>'Raw IS'!K6</f>
        <v>11223</v>
      </c>
      <c r="E11" s="12">
        <f>'Raw IS'!L6</f>
        <v>12067</v>
      </c>
      <c r="F11" s="12">
        <f>'Raw IS'!C6</f>
        <v>5199</v>
      </c>
      <c r="G11" s="12">
        <f>'Raw IS'!D6</f>
        <v>8598</v>
      </c>
      <c r="H11" s="12">
        <f>'Raw IS'!E6</f>
        <v>11667</v>
      </c>
      <c r="I11" s="74">
        <f>H11*(1+I12)</f>
        <v>12830</v>
      </c>
      <c r="J11" s="74">
        <f t="shared" ref="J11:R11" si="1">I11*(1+J12)</f>
        <v>13999.999999999998</v>
      </c>
      <c r="K11" s="74">
        <f t="shared" si="1"/>
        <v>15129.999999999998</v>
      </c>
      <c r="L11" s="74">
        <f t="shared" si="1"/>
        <v>15920</v>
      </c>
      <c r="M11" s="74">
        <f t="shared" si="1"/>
        <v>16930</v>
      </c>
      <c r="N11" s="74">
        <f t="shared" si="1"/>
        <v>17790</v>
      </c>
      <c r="O11" s="74">
        <f t="shared" si="1"/>
        <v>18697.289999999997</v>
      </c>
      <c r="P11" s="74">
        <f t="shared" si="1"/>
        <v>19819.127399999998</v>
      </c>
      <c r="Q11" s="74">
        <f t="shared" si="1"/>
        <v>21008.275043999998</v>
      </c>
      <c r="R11" s="74">
        <f t="shared" si="1"/>
        <v>21954.593739675674</v>
      </c>
    </row>
    <row r="12" spans="1:86" x14ac:dyDescent="0.25">
      <c r="A12" s="1"/>
      <c r="B12" s="67" t="s">
        <v>8</v>
      </c>
      <c r="C12" s="68"/>
      <c r="D12" s="68">
        <f>(D11/C11)-1</f>
        <v>0.11560636182902595</v>
      </c>
      <c r="E12" s="68">
        <f>(E11/D11)-1</f>
        <v>7.5202708723157707E-2</v>
      </c>
      <c r="F12" s="68">
        <f>(F11/E11)-1</f>
        <v>-0.56915554818927649</v>
      </c>
      <c r="G12" s="68">
        <f>(G11/F11)-1</f>
        <v>0.6537795729948066</v>
      </c>
      <c r="H12" s="68">
        <f>(H11/G11)-1</f>
        <v>0.35694347522679704</v>
      </c>
      <c r="I12" s="68">
        <v>9.9682866203822718E-2</v>
      </c>
      <c r="J12" s="68">
        <v>9.1192517537022511E-2</v>
      </c>
      <c r="K12" s="68">
        <v>8.0714285714285738E-2</v>
      </c>
      <c r="L12" s="68">
        <v>5.2214144084600234E-2</v>
      </c>
      <c r="M12" s="68">
        <v>6.3442211055276365E-2</v>
      </c>
      <c r="N12" s="68">
        <v>5.0797401063201519E-2</v>
      </c>
      <c r="O12" s="68">
        <v>5.0999999999999997E-2</v>
      </c>
      <c r="P12" s="68">
        <v>0.06</v>
      </c>
      <c r="Q12" s="68">
        <v>0.06</v>
      </c>
      <c r="R12" s="68">
        <v>4.5045045045045029E-2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7"/>
    </row>
    <row r="14" spans="1:86" x14ac:dyDescent="0.25">
      <c r="A14" s="1"/>
      <c r="B14" s="1" t="s">
        <v>9</v>
      </c>
      <c r="C14" s="12">
        <f>'Raw IS'!J8</f>
        <v>1757</v>
      </c>
      <c r="D14" s="12">
        <f>'Raw IS'!K8</f>
        <v>1965</v>
      </c>
      <c r="E14" s="12">
        <f>'Raw IS'!L8</f>
        <v>2163</v>
      </c>
      <c r="F14" s="12">
        <f>'Raw IS'!C8</f>
        <v>1649</v>
      </c>
      <c r="G14" s="12">
        <f>'Raw IS'!D8</f>
        <v>1522</v>
      </c>
      <c r="H14" s="12">
        <f>'Raw IS'!E8</f>
        <v>1657</v>
      </c>
      <c r="I14" s="78">
        <f>I11-I16</f>
        <v>1733.3330000000005</v>
      </c>
      <c r="J14" s="79">
        <f t="shared" ref="J14:K14" si="2">J11-J16</f>
        <v>1926.3999999999996</v>
      </c>
      <c r="K14" s="79">
        <f t="shared" si="2"/>
        <v>2069.7839999999997</v>
      </c>
      <c r="L14" s="79">
        <f t="shared" ref="L14:R14" si="3">L11-L16</f>
        <v>2255.8640000000014</v>
      </c>
      <c r="M14" s="79">
        <f t="shared" si="3"/>
        <v>2398.9810000000016</v>
      </c>
      <c r="N14" s="79">
        <f t="shared" si="3"/>
        <v>2526.1800000000003</v>
      </c>
      <c r="O14" s="79">
        <f t="shared" si="3"/>
        <v>2879.3826599999993</v>
      </c>
      <c r="P14" s="79">
        <f t="shared" si="3"/>
        <v>2675.5821990000004</v>
      </c>
      <c r="Q14" s="79">
        <f t="shared" si="3"/>
        <v>2836.1171309400015</v>
      </c>
      <c r="R14" s="79">
        <f t="shared" si="3"/>
        <v>2963.8701548562167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7"/>
    </row>
    <row r="16" spans="1:86" x14ac:dyDescent="0.25">
      <c r="A16" s="1"/>
      <c r="B16" s="1" t="s">
        <v>10</v>
      </c>
      <c r="C16" s="12">
        <f>C11-C14</f>
        <v>8303</v>
      </c>
      <c r="D16" s="12">
        <f>D11-D14</f>
        <v>9258</v>
      </c>
      <c r="E16" s="12">
        <f>E11-E14</f>
        <v>9904</v>
      </c>
      <c r="F16" s="12">
        <f t="shared" ref="F16:H16" si="4">F11-F14</f>
        <v>3550</v>
      </c>
      <c r="G16" s="12">
        <f t="shared" si="4"/>
        <v>7076</v>
      </c>
      <c r="H16" s="12">
        <f t="shared" si="4"/>
        <v>10010</v>
      </c>
      <c r="I16" s="74">
        <f>I11*I17</f>
        <v>11096.666999999999</v>
      </c>
      <c r="J16" s="24">
        <f t="shared" ref="J16:R16" si="5">J11*J17</f>
        <v>12073.599999999999</v>
      </c>
      <c r="K16" s="24">
        <f t="shared" si="5"/>
        <v>13060.215999999999</v>
      </c>
      <c r="L16" s="24">
        <f t="shared" si="5"/>
        <v>13664.135999999999</v>
      </c>
      <c r="M16" s="24">
        <f t="shared" si="5"/>
        <v>14531.018999999998</v>
      </c>
      <c r="N16" s="24">
        <f t="shared" si="5"/>
        <v>15263.82</v>
      </c>
      <c r="O16" s="24">
        <f t="shared" si="5"/>
        <v>15817.907339999998</v>
      </c>
      <c r="P16" s="24">
        <f t="shared" si="5"/>
        <v>17143.545200999997</v>
      </c>
      <c r="Q16" s="24">
        <f t="shared" si="5"/>
        <v>18172.157913059997</v>
      </c>
      <c r="R16" s="24">
        <f t="shared" si="5"/>
        <v>18990.723584819458</v>
      </c>
    </row>
    <row r="17" spans="1:18" x14ac:dyDescent="0.25">
      <c r="A17" s="1"/>
      <c r="B17" s="69" t="s">
        <v>11</v>
      </c>
      <c r="C17" s="70">
        <f>C16/C11</f>
        <v>0.82534791252485085</v>
      </c>
      <c r="D17" s="70">
        <f>D16/D11</f>
        <v>0.82491312483293233</v>
      </c>
      <c r="E17" s="70">
        <f>E16/E11</f>
        <v>0.82075080798872957</v>
      </c>
      <c r="F17" s="70">
        <f t="shared" ref="F17:H17" si="6">F16/F11</f>
        <v>0.68282361992690899</v>
      </c>
      <c r="G17" s="70">
        <f t="shared" si="6"/>
        <v>0.82298208885787394</v>
      </c>
      <c r="H17" s="70">
        <f t="shared" si="6"/>
        <v>0.85797548641467392</v>
      </c>
      <c r="I17" s="71">
        <v>0.8649</v>
      </c>
      <c r="J17" s="91">
        <v>0.86240000000000006</v>
      </c>
      <c r="K17" s="91">
        <v>0.86319999999999997</v>
      </c>
      <c r="L17" s="91">
        <v>0.85829999999999995</v>
      </c>
      <c r="M17" s="91">
        <v>0.85829999999999995</v>
      </c>
      <c r="N17" s="91">
        <v>0.85799999999999998</v>
      </c>
      <c r="O17" s="91">
        <v>0.84599999999999997</v>
      </c>
      <c r="P17" s="91">
        <v>0.86499999999999999</v>
      </c>
      <c r="Q17" s="91">
        <v>0.86499999999999999</v>
      </c>
      <c r="R17" s="91">
        <v>0.86499999999999999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7"/>
    </row>
    <row r="19" spans="1:18" x14ac:dyDescent="0.25">
      <c r="A19" s="1"/>
      <c r="B19" s="1" t="s">
        <v>12</v>
      </c>
      <c r="C19" s="12">
        <f>'Raw IS'!J10</f>
        <v>1387</v>
      </c>
      <c r="D19" s="12">
        <f>'Raw IS'!K10</f>
        <v>1617</v>
      </c>
      <c r="E19" s="12">
        <f>'Raw IS'!L10</f>
        <v>1763</v>
      </c>
      <c r="F19" s="12">
        <f>'Raw IS'!C11</f>
        <v>1068</v>
      </c>
      <c r="G19" s="12">
        <f>'Raw IS'!D11</f>
        <v>1074</v>
      </c>
      <c r="H19" s="12">
        <f>'Raw IS'!E11</f>
        <v>1181</v>
      </c>
      <c r="I19" s="74">
        <v>1226.0676641034524</v>
      </c>
      <c r="J19" s="74">
        <v>1332.8151398113719</v>
      </c>
      <c r="K19" s="74">
        <v>1436.9388680276295</v>
      </c>
      <c r="L19" s="74">
        <v>1488.1706791900599</v>
      </c>
      <c r="M19" s="74">
        <v>1572.7659160754599</v>
      </c>
      <c r="N19" s="74">
        <v>1644.8904292517266</v>
      </c>
      <c r="O19" s="74">
        <v>1683.4835050566539</v>
      </c>
      <c r="P19" s="74">
        <v>1887.316937697587</v>
      </c>
      <c r="Q19" s="74">
        <v>2061.3737501914111</v>
      </c>
      <c r="R19" s="74">
        <v>2150.6810183158968</v>
      </c>
    </row>
    <row r="20" spans="1:18" x14ac:dyDescent="0.25">
      <c r="A20" s="1"/>
      <c r="B20" s="67" t="s">
        <v>18</v>
      </c>
      <c r="C20" s="68">
        <f>C19/C11</f>
        <v>0.1378727634194831</v>
      </c>
      <c r="D20" s="68">
        <f>D19/D11</f>
        <v>0.14407912322908314</v>
      </c>
      <c r="E20" s="68">
        <f>E19/E11</f>
        <v>0.14610093643821995</v>
      </c>
      <c r="F20" s="68">
        <f t="shared" ref="F20:R20" si="7">F19/F11</f>
        <v>0.20542412002308136</v>
      </c>
      <c r="G20" s="68">
        <f t="shared" si="7"/>
        <v>0.12491277041172366</v>
      </c>
      <c r="H20" s="68">
        <f t="shared" si="7"/>
        <v>0.10122567926630667</v>
      </c>
      <c r="I20" s="68">
        <f t="shared" si="7"/>
        <v>9.5562561504555915E-2</v>
      </c>
      <c r="J20" s="68">
        <f t="shared" si="7"/>
        <v>9.5201081415098004E-2</v>
      </c>
      <c r="K20" s="68">
        <f t="shared" si="7"/>
        <v>9.497282670374288E-2</v>
      </c>
      <c r="L20" s="68">
        <f t="shared" si="7"/>
        <v>9.3478057738069095E-2</v>
      </c>
      <c r="M20" s="68">
        <f t="shared" si="7"/>
        <v>9.2898163973742467E-2</v>
      </c>
      <c r="N20" s="68">
        <f t="shared" si="7"/>
        <v>9.2461519350855906E-2</v>
      </c>
      <c r="O20" s="68">
        <f t="shared" si="7"/>
        <v>9.0038904304134679E-2</v>
      </c>
      <c r="P20" s="68">
        <f t="shared" si="7"/>
        <v>9.5227045046271178E-2</v>
      </c>
      <c r="Q20" s="68">
        <f t="shared" si="7"/>
        <v>9.8121989828962336E-2</v>
      </c>
      <c r="R20" s="68">
        <f t="shared" si="7"/>
        <v>9.7960410646508636E-2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74"/>
      <c r="J21" s="24"/>
      <c r="K21" s="24"/>
      <c r="L21" s="24"/>
      <c r="M21" s="24"/>
      <c r="N21" s="24"/>
      <c r="O21" s="24"/>
      <c r="P21" s="24"/>
      <c r="Q21" s="24"/>
      <c r="R21" s="24"/>
    </row>
    <row r="22" spans="1:18" x14ac:dyDescent="0.25">
      <c r="A22" s="1"/>
      <c r="B22" s="1" t="s">
        <v>54</v>
      </c>
      <c r="C22" s="12">
        <f>'Raw IS'!J9</f>
        <v>5298</v>
      </c>
      <c r="D22" s="12">
        <f>'Raw IS'!K9</f>
        <v>5767</v>
      </c>
      <c r="E22" s="12">
        <f>'Raw IS'!L9</f>
        <v>6135</v>
      </c>
      <c r="F22" s="12">
        <f>'Raw IS'!C10</f>
        <v>2527</v>
      </c>
      <c r="G22" s="12">
        <f>'Raw IS'!D10</f>
        <v>4221</v>
      </c>
      <c r="H22" s="12">
        <f>'Raw IS'!E10</f>
        <v>6100</v>
      </c>
      <c r="I22" s="74">
        <v>6332.7796367748178</v>
      </c>
      <c r="J22" s="74">
        <v>6884.1425511002262</v>
      </c>
      <c r="K22" s="74">
        <v>7421.9535097108719</v>
      </c>
      <c r="L22" s="74">
        <v>7686.571670668387</v>
      </c>
      <c r="M22" s="74">
        <v>8123.5157392551273</v>
      </c>
      <c r="N22" s="74">
        <v>8496.0470943569271</v>
      </c>
      <c r="O22" s="74">
        <v>8695.3847424602791</v>
      </c>
      <c r="P22" s="74">
        <v>9748.2077222313983</v>
      </c>
      <c r="Q22" s="74">
        <v>10647.231055180022</v>
      </c>
      <c r="R22" s="74">
        <v>11108.513303748492</v>
      </c>
    </row>
    <row r="23" spans="1:18" x14ac:dyDescent="0.25">
      <c r="A23" s="1"/>
      <c r="B23" s="67" t="s">
        <v>18</v>
      </c>
      <c r="C23" s="68">
        <f>C22/C11</f>
        <v>0.5266401590457257</v>
      </c>
      <c r="D23" s="68">
        <f>D22/D11</f>
        <v>0.51385547536309362</v>
      </c>
      <c r="E23" s="68">
        <f>E22/E11</f>
        <v>0.50841136985166158</v>
      </c>
      <c r="F23" s="68">
        <f t="shared" ref="F23:R23" si="8">F22/F11</f>
        <v>0.4860550105789575</v>
      </c>
      <c r="G23" s="68">
        <f t="shared" si="8"/>
        <v>0.49092812281926029</v>
      </c>
      <c r="H23" s="68">
        <f t="shared" si="8"/>
        <v>0.52284220450844265</v>
      </c>
      <c r="I23" s="68">
        <f t="shared" si="8"/>
        <v>0.4935915539185361</v>
      </c>
      <c r="J23" s="68">
        <f t="shared" si="8"/>
        <v>0.49172446793573049</v>
      </c>
      <c r="K23" s="68">
        <f t="shared" si="8"/>
        <v>0.49054550625980653</v>
      </c>
      <c r="L23" s="68">
        <f t="shared" si="8"/>
        <v>0.48282485368520017</v>
      </c>
      <c r="M23" s="68">
        <f t="shared" si="8"/>
        <v>0.47982963610485097</v>
      </c>
      <c r="N23" s="68">
        <f t="shared" si="8"/>
        <v>0.47757431671483569</v>
      </c>
      <c r="O23" s="68">
        <f t="shared" si="8"/>
        <v>0.46506123306962027</v>
      </c>
      <c r="P23" s="68">
        <f t="shared" si="8"/>
        <v>0.49185857305864028</v>
      </c>
      <c r="Q23" s="68">
        <f t="shared" si="8"/>
        <v>0.50681129378210854</v>
      </c>
      <c r="R23" s="68">
        <f t="shared" si="8"/>
        <v>0.50597671883463391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4"/>
      <c r="J24" s="24"/>
      <c r="K24" s="24"/>
      <c r="L24" s="24"/>
      <c r="M24" s="24"/>
      <c r="N24" s="24"/>
      <c r="O24" s="24"/>
      <c r="P24" s="24"/>
      <c r="Q24" s="24"/>
      <c r="R24" s="24"/>
    </row>
    <row r="25" spans="1:18" x14ac:dyDescent="0.25">
      <c r="A25" s="1"/>
      <c r="B25" s="1" t="s">
        <v>55</v>
      </c>
      <c r="C25" s="12">
        <f>'Raw IS'!J11</f>
        <v>676</v>
      </c>
      <c r="D25" s="12">
        <f>'Raw IS'!K11</f>
        <v>808</v>
      </c>
      <c r="E25" s="12">
        <f>'Raw IS'!L11</f>
        <v>847</v>
      </c>
      <c r="F25" s="12">
        <f>'Raw IS'!C12</f>
        <v>589</v>
      </c>
      <c r="G25" s="12">
        <f>'Raw IS'!D12</f>
        <v>705</v>
      </c>
      <c r="H25" s="12">
        <f>'Raw IS'!E12</f>
        <v>748</v>
      </c>
      <c r="I25" s="80">
        <v>776.54412595205974</v>
      </c>
      <c r="J25" s="80">
        <v>844.15387347917545</v>
      </c>
      <c r="K25" s="80">
        <v>910.10184020716929</v>
      </c>
      <c r="L25" s="80">
        <v>942.55009994425484</v>
      </c>
      <c r="M25" s="80">
        <v>996.12947097751407</v>
      </c>
      <c r="N25" s="80">
        <v>1041.8103650129481</v>
      </c>
      <c r="O25" s="80">
        <v>1066.2537356328344</v>
      </c>
      <c r="P25" s="80">
        <v>1195.353996103129</v>
      </c>
      <c r="Q25" s="80">
        <v>1305.594890045026</v>
      </c>
      <c r="R25" s="80">
        <v>1362.158680525225</v>
      </c>
    </row>
    <row r="26" spans="1:18" x14ac:dyDescent="0.25">
      <c r="A26" s="1"/>
      <c r="B26" s="67" t="s">
        <v>18</v>
      </c>
      <c r="C26" s="68">
        <f>C25/C11</f>
        <v>6.7196819085487081E-2</v>
      </c>
      <c r="D26" s="68">
        <f>D25/D11</f>
        <v>7.1995010246814581E-2</v>
      </c>
      <c r="E26" s="68">
        <f>E25/E11</f>
        <v>7.0191431175934363E-2</v>
      </c>
      <c r="F26" s="68">
        <f t="shared" ref="F26:R26" si="9">F25/F11</f>
        <v>0.11329101750336604</v>
      </c>
      <c r="G26" s="68">
        <f t="shared" si="9"/>
        <v>8.1995812979762731E-2</v>
      </c>
      <c r="H26" s="68">
        <f t="shared" si="9"/>
        <v>6.4112453929887722E-2</v>
      </c>
      <c r="I26" s="68">
        <f t="shared" si="9"/>
        <v>6.0525652841158205E-2</v>
      </c>
      <c r="J26" s="68">
        <f t="shared" si="9"/>
        <v>6.0296705248512543E-2</v>
      </c>
      <c r="K26" s="68">
        <f t="shared" si="9"/>
        <v>6.015213748890743E-2</v>
      </c>
      <c r="L26" s="68">
        <f t="shared" si="9"/>
        <v>5.9205408287955709E-2</v>
      </c>
      <c r="M26" s="68">
        <f t="shared" si="9"/>
        <v>5.8838125869906326E-2</v>
      </c>
      <c r="N26" s="68">
        <f t="shared" si="9"/>
        <v>5.8561571951261833E-2</v>
      </c>
      <c r="O26" s="68">
        <f t="shared" si="9"/>
        <v>5.7027180710832133E-2</v>
      </c>
      <c r="P26" s="68">
        <f t="shared" si="9"/>
        <v>6.0313149614403767E-2</v>
      </c>
      <c r="Q26" s="68">
        <f t="shared" si="9"/>
        <v>6.2146696352297914E-2</v>
      </c>
      <c r="R26" s="68">
        <f t="shared" si="9"/>
        <v>6.2044358309558387E-2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80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5">
      <c r="A28" s="1"/>
      <c r="B28" s="1" t="s">
        <v>58</v>
      </c>
      <c r="C28" s="12">
        <f>'Raw IS'!J12</f>
        <v>275</v>
      </c>
      <c r="D28" s="12">
        <f>'Raw IS'!K12</f>
        <v>283</v>
      </c>
      <c r="E28" s="12">
        <f>'Raw IS'!L12</f>
        <v>198</v>
      </c>
      <c r="F28" s="12">
        <f>'Raw IS'!C13</f>
        <v>893</v>
      </c>
      <c r="G28" s="12">
        <f>'Raw IS'!D13</f>
        <v>814</v>
      </c>
      <c r="H28" s="12">
        <f>'Raw IS'!E13</f>
        <v>792</v>
      </c>
      <c r="I28" s="80">
        <f>I50</f>
        <v>747.54</v>
      </c>
      <c r="J28" s="80">
        <f t="shared" ref="J28:R28" si="10">J50</f>
        <v>784.69</v>
      </c>
      <c r="K28" s="80">
        <f t="shared" si="10"/>
        <v>816.34</v>
      </c>
      <c r="L28" s="80">
        <f t="shared" si="10"/>
        <v>976.53</v>
      </c>
      <c r="M28" s="80">
        <f t="shared" si="10"/>
        <v>977.9</v>
      </c>
      <c r="N28" s="80">
        <f t="shared" si="10"/>
        <v>910.7</v>
      </c>
      <c r="O28" s="80">
        <f t="shared" si="10"/>
        <v>905.4</v>
      </c>
      <c r="P28" s="80">
        <f t="shared" si="10"/>
        <v>990</v>
      </c>
      <c r="Q28" s="80">
        <f t="shared" si="10"/>
        <v>1071.4220272439998</v>
      </c>
      <c r="R28" s="80">
        <f t="shared" si="10"/>
        <v>1119.6842807234593</v>
      </c>
    </row>
    <row r="29" spans="1:18" x14ac:dyDescent="0.25">
      <c r="A29" s="1"/>
      <c r="B29" s="67" t="s">
        <v>18</v>
      </c>
      <c r="C29" s="68">
        <f>C28/C11</f>
        <v>2.7335984095427434E-2</v>
      </c>
      <c r="D29" s="68">
        <f>D28/D11</f>
        <v>2.5216074133475899E-2</v>
      </c>
      <c r="E29" s="68">
        <f>E28/E11</f>
        <v>1.6408386508659983E-2</v>
      </c>
      <c r="F29" s="68">
        <f t="shared" ref="F29:R29" si="11">F28/F11</f>
        <v>0.1717638007309098</v>
      </c>
      <c r="G29" s="68">
        <f t="shared" si="11"/>
        <v>9.4673179809257962E-2</v>
      </c>
      <c r="H29" s="68">
        <f t="shared" si="11"/>
        <v>6.7883774749292872E-2</v>
      </c>
      <c r="I29" s="68">
        <f t="shared" si="11"/>
        <v>5.8265003897116134E-2</v>
      </c>
      <c r="J29" s="68">
        <f t="shared" si="11"/>
        <v>5.6049285714285725E-2</v>
      </c>
      <c r="K29" s="68">
        <f t="shared" si="11"/>
        <v>5.3955056179775286E-2</v>
      </c>
      <c r="L29" s="68">
        <f t="shared" si="11"/>
        <v>6.1339824120603015E-2</v>
      </c>
      <c r="M29" s="68">
        <f t="shared" si="11"/>
        <v>5.7761370348493796E-2</v>
      </c>
      <c r="N29" s="68">
        <f t="shared" si="11"/>
        <v>5.1191680719505341E-2</v>
      </c>
      <c r="O29" s="68">
        <f t="shared" si="11"/>
        <v>4.8424129914014284E-2</v>
      </c>
      <c r="P29" s="68">
        <f t="shared" si="11"/>
        <v>4.9951745100543635E-2</v>
      </c>
      <c r="Q29" s="68">
        <f t="shared" si="11"/>
        <v>5.099999999999999E-2</v>
      </c>
      <c r="R29" s="68">
        <f t="shared" si="11"/>
        <v>5.0999999999999997E-2</v>
      </c>
    </row>
    <row r="30" spans="1:18" x14ac:dyDescent="0.25">
      <c r="A30" s="1"/>
      <c r="B30" s="14"/>
      <c r="C30" s="15"/>
      <c r="D30" s="15"/>
      <c r="E30" s="15"/>
      <c r="F30" s="15"/>
      <c r="G30" s="15"/>
      <c r="H30" s="15"/>
      <c r="I30" s="81"/>
      <c r="J30" s="82"/>
      <c r="K30" s="82"/>
      <c r="L30" s="82"/>
      <c r="M30" s="82"/>
      <c r="N30" s="82"/>
      <c r="O30" s="82"/>
      <c r="P30" s="82"/>
      <c r="Q30" s="82"/>
      <c r="R30" s="82"/>
    </row>
    <row r="31" spans="1:18" x14ac:dyDescent="0.25">
      <c r="A31" s="1"/>
      <c r="B31" s="14" t="s">
        <v>57</v>
      </c>
      <c r="C31" s="88">
        <f>SUM('Raw IS'!J13:J17)</f>
        <v>42</v>
      </c>
      <c r="D31" s="88">
        <f>SUM('Raw IS'!K13:K17)</f>
        <v>69</v>
      </c>
      <c r="E31" s="88">
        <f>SUM('Raw IS'!L13:L17)</f>
        <v>58</v>
      </c>
      <c r="F31" s="101">
        <f>SUM('Raw IS'!C14:C17)</f>
        <v>1192</v>
      </c>
      <c r="G31" s="101">
        <f>SUM('Raw IS'!D14:D17)</f>
        <v>76</v>
      </c>
      <c r="H31" s="101">
        <f>SUM('Raw IS'!E14:E17)</f>
        <v>104</v>
      </c>
      <c r="I31" s="102">
        <v>107.96870200402968</v>
      </c>
      <c r="J31" s="102">
        <v>117.36898775646289</v>
      </c>
      <c r="K31" s="102">
        <v>126.53822377211979</v>
      </c>
      <c r="L31" s="102">
        <v>131.04974651631349</v>
      </c>
      <c r="M31" s="102">
        <v>138.49928473484152</v>
      </c>
      <c r="N31" s="102">
        <v>144.85063898575748</v>
      </c>
      <c r="O31" s="102">
        <v>148.24918249440475</v>
      </c>
      <c r="P31" s="102">
        <v>166.19895132984681</v>
      </c>
      <c r="Q31" s="102">
        <v>181.52656225224959</v>
      </c>
      <c r="R31" s="102">
        <v>189.39104649013825</v>
      </c>
    </row>
    <row r="32" spans="1:18" x14ac:dyDescent="0.25">
      <c r="A32" s="1"/>
      <c r="B32" s="67" t="s">
        <v>18</v>
      </c>
      <c r="C32" s="68">
        <f>C31/C11</f>
        <v>4.1749502982107358E-3</v>
      </c>
      <c r="D32" s="68">
        <f>D31/D11</f>
        <v>6.1480887463245121E-3</v>
      </c>
      <c r="E32" s="68">
        <f>E31/E11</f>
        <v>4.8064970580923181E-3</v>
      </c>
      <c r="F32" s="68">
        <f t="shared" ref="F32:R32" si="12">F31/F11</f>
        <v>0.22927486055010579</v>
      </c>
      <c r="G32" s="68">
        <f t="shared" si="12"/>
        <v>8.8392649453361248E-3</v>
      </c>
      <c r="H32" s="68">
        <f t="shared" si="12"/>
        <v>8.9140310276849231E-3</v>
      </c>
      <c r="I32" s="68">
        <f t="shared" si="12"/>
        <v>8.415331411070124E-3</v>
      </c>
      <c r="J32" s="68">
        <f t="shared" si="12"/>
        <v>8.383499125461635E-3</v>
      </c>
      <c r="K32" s="68">
        <f t="shared" si="12"/>
        <v>8.363398795249161E-3</v>
      </c>
      <c r="L32" s="68">
        <f t="shared" si="12"/>
        <v>8.2317679972558726E-3</v>
      </c>
      <c r="M32" s="68">
        <f t="shared" si="12"/>
        <v>8.180701992607297E-3</v>
      </c>
      <c r="N32" s="68">
        <f t="shared" si="12"/>
        <v>8.1422506456299872E-3</v>
      </c>
      <c r="O32" s="68">
        <f t="shared" si="12"/>
        <v>7.9289128261050001E-3</v>
      </c>
      <c r="P32" s="68">
        <f t="shared" si="12"/>
        <v>8.3857855078850151E-3</v>
      </c>
      <c r="Q32" s="68">
        <f t="shared" si="12"/>
        <v>8.6407171398916877E-3</v>
      </c>
      <c r="R32" s="68">
        <f t="shared" si="12"/>
        <v>8.6264883211150702E-3</v>
      </c>
    </row>
    <row r="33" spans="1:18" x14ac:dyDescent="0.25">
      <c r="A33" s="1"/>
      <c r="B33" s="1"/>
      <c r="C33" s="12"/>
      <c r="D33" s="12"/>
      <c r="E33" s="12"/>
      <c r="F33" s="1"/>
      <c r="G33" s="1"/>
      <c r="H33" s="1"/>
      <c r="I33" s="80"/>
      <c r="J33" s="80"/>
      <c r="K33" s="80"/>
      <c r="L33" s="80"/>
      <c r="M33" s="80"/>
      <c r="N33" s="80"/>
      <c r="O33" s="80"/>
      <c r="P33" s="80"/>
      <c r="Q33" s="80"/>
      <c r="R33" s="80"/>
    </row>
    <row r="34" spans="1:18" x14ac:dyDescent="0.25">
      <c r="A34" s="1"/>
      <c r="B34" s="1" t="s">
        <v>13</v>
      </c>
      <c r="C34" s="12">
        <f>C19+C22+C25+C28+C31</f>
        <v>7678</v>
      </c>
      <c r="D34" s="12">
        <f t="shared" ref="D34:R34" si="13">D19+D22+D25+D28+D31</f>
        <v>8544</v>
      </c>
      <c r="E34" s="12">
        <f t="shared" si="13"/>
        <v>9001</v>
      </c>
      <c r="F34" s="12">
        <f t="shared" si="13"/>
        <v>6269</v>
      </c>
      <c r="G34" s="12">
        <f t="shared" si="13"/>
        <v>6890</v>
      </c>
      <c r="H34" s="12">
        <f t="shared" si="13"/>
        <v>8925</v>
      </c>
      <c r="I34" s="12">
        <f>I19+I22+I25+I28+I31</f>
        <v>9190.9001288343607</v>
      </c>
      <c r="J34" s="12">
        <f t="shared" si="13"/>
        <v>9963.1705521472377</v>
      </c>
      <c r="K34" s="12">
        <f t="shared" si="13"/>
        <v>10711.872441717791</v>
      </c>
      <c r="L34" s="12">
        <f t="shared" si="13"/>
        <v>11224.872196319016</v>
      </c>
      <c r="M34" s="12">
        <f t="shared" si="13"/>
        <v>11808.810411042943</v>
      </c>
      <c r="N34" s="12">
        <f t="shared" si="13"/>
        <v>12238.298527607361</v>
      </c>
      <c r="O34" s="12">
        <f t="shared" si="13"/>
        <v>12498.771165644172</v>
      </c>
      <c r="P34" s="12">
        <f t="shared" si="13"/>
        <v>13987.077607361962</v>
      </c>
      <c r="Q34" s="12">
        <f t="shared" si="13"/>
        <v>15267.148284912708</v>
      </c>
      <c r="R34" s="12">
        <f t="shared" si="13"/>
        <v>15930.42832980321</v>
      </c>
    </row>
    <row r="35" spans="1:18" x14ac:dyDescent="0.25">
      <c r="A35" s="1"/>
      <c r="B35" s="67" t="s">
        <v>18</v>
      </c>
      <c r="C35" s="68">
        <f>C34/C11</f>
        <v>0.76322067594433396</v>
      </c>
      <c r="D35" s="68">
        <f>D34/D11</f>
        <v>0.76129377171879176</v>
      </c>
      <c r="E35" s="68">
        <f>E34/E11</f>
        <v>0.74591862103256812</v>
      </c>
      <c r="F35" s="68">
        <f t="shared" ref="F35:R35" si="14">F34/F11</f>
        <v>1.2058088093864205</v>
      </c>
      <c r="G35" s="68">
        <f t="shared" si="14"/>
        <v>0.80134915096534076</v>
      </c>
      <c r="H35" s="68">
        <f t="shared" si="14"/>
        <v>0.76497814348161486</v>
      </c>
      <c r="I35" s="75">
        <f t="shared" si="14"/>
        <v>0.71636010357243651</v>
      </c>
      <c r="J35" s="76">
        <f t="shared" si="14"/>
        <v>0.71165503943908848</v>
      </c>
      <c r="K35" s="76">
        <f t="shared" si="14"/>
        <v>0.70798892542748126</v>
      </c>
      <c r="L35" s="76">
        <f t="shared" si="14"/>
        <v>0.70507991182908392</v>
      </c>
      <c r="M35" s="76">
        <f t="shared" si="14"/>
        <v>0.69750799828960086</v>
      </c>
      <c r="N35" s="76">
        <f t="shared" si="14"/>
        <v>0.68793133938208895</v>
      </c>
      <c r="O35" s="76">
        <f t="shared" si="14"/>
        <v>0.6684803608247063</v>
      </c>
      <c r="P35" s="76">
        <f t="shared" si="14"/>
        <v>0.70573629832774387</v>
      </c>
      <c r="Q35" s="76">
        <f t="shared" si="14"/>
        <v>0.72672069710326048</v>
      </c>
      <c r="R35" s="76">
        <f t="shared" si="14"/>
        <v>0.72560797611181593</v>
      </c>
    </row>
    <row r="36" spans="1:18" x14ac:dyDescent="0.25">
      <c r="A36" s="1"/>
      <c r="B36" s="1"/>
      <c r="C36" s="15"/>
      <c r="D36" s="15"/>
      <c r="E36" s="15"/>
      <c r="F36" s="15"/>
      <c r="G36" s="15"/>
      <c r="H36" s="15"/>
      <c r="I36" s="81"/>
      <c r="J36" s="82"/>
      <c r="K36" s="82"/>
      <c r="L36" s="82"/>
      <c r="M36" s="82"/>
      <c r="N36" s="82"/>
      <c r="O36" s="82"/>
      <c r="P36" s="82"/>
      <c r="Q36" s="82"/>
      <c r="R36" s="82"/>
    </row>
    <row r="37" spans="1:18" x14ac:dyDescent="0.25">
      <c r="A37" s="1"/>
      <c r="B37" s="1" t="s">
        <v>14</v>
      </c>
      <c r="C37" s="12">
        <f>C16-C34</f>
        <v>625</v>
      </c>
      <c r="D37" s="12">
        <f>D16-D34</f>
        <v>714</v>
      </c>
      <c r="E37" s="12">
        <f>E16-E34</f>
        <v>903</v>
      </c>
      <c r="F37" s="12">
        <f t="shared" ref="F37:H37" si="15">F16-F34</f>
        <v>-2719</v>
      </c>
      <c r="G37" s="12">
        <f t="shared" si="15"/>
        <v>186</v>
      </c>
      <c r="H37" s="12">
        <f t="shared" si="15"/>
        <v>1085</v>
      </c>
      <c r="I37" s="80">
        <f t="shared" ref="I37:R37" si="16">I16-I19-I22-I25-I28</f>
        <v>2013.7355731696684</v>
      </c>
      <c r="J37" s="21">
        <f t="shared" si="16"/>
        <v>2227.7984356092252</v>
      </c>
      <c r="K37" s="21">
        <f t="shared" si="16"/>
        <v>2474.8817820543272</v>
      </c>
      <c r="L37" s="21">
        <f t="shared" si="16"/>
        <v>2570.3135501972974</v>
      </c>
      <c r="M37" s="21">
        <f t="shared" si="16"/>
        <v>2860.7078736918979</v>
      </c>
      <c r="N37" s="21">
        <f t="shared" si="16"/>
        <v>3170.3721113783977</v>
      </c>
      <c r="O37" s="21">
        <f t="shared" si="16"/>
        <v>3467.3853568502304</v>
      </c>
      <c r="P37" s="21">
        <f t="shared" si="16"/>
        <v>3322.6665449678821</v>
      </c>
      <c r="Q37" s="21">
        <f t="shared" si="16"/>
        <v>3086.5361903995381</v>
      </c>
      <c r="R37" s="21">
        <f t="shared" si="16"/>
        <v>3249.6863015063859</v>
      </c>
    </row>
    <row r="38" spans="1:18" x14ac:dyDescent="0.25">
      <c r="A38" s="1"/>
      <c r="B38" s="1" t="s">
        <v>15</v>
      </c>
      <c r="C38" s="65">
        <f>SUM('Raw IS'!J23)</f>
        <v>-208</v>
      </c>
      <c r="D38" s="65">
        <f>SUM('Raw IS'!K23)</f>
        <v>-229</v>
      </c>
      <c r="E38" s="65">
        <f>SUM('Raw IS'!L23)</f>
        <v>-128</v>
      </c>
      <c r="F38" s="65">
        <f>'Raw IS'!C25</f>
        <v>-432</v>
      </c>
      <c r="G38" s="65">
        <f>'Raw IS'!D25</f>
        <v>-224</v>
      </c>
      <c r="H38" s="65">
        <f>'Raw IS'!E25</f>
        <v>-547</v>
      </c>
      <c r="I38" s="83">
        <f>I39*I11</f>
        <v>-513.20000000000005</v>
      </c>
      <c r="J38" s="84">
        <f t="shared" ref="J38:R38" si="17">J39*J11</f>
        <v>-490</v>
      </c>
      <c r="K38" s="84">
        <f t="shared" si="17"/>
        <v>-453.89999999999992</v>
      </c>
      <c r="L38" s="84">
        <f t="shared" si="17"/>
        <v>-398</v>
      </c>
      <c r="M38" s="84">
        <f t="shared" si="17"/>
        <v>-338.6</v>
      </c>
      <c r="N38" s="84">
        <f t="shared" si="17"/>
        <v>-355.8</v>
      </c>
      <c r="O38" s="84">
        <f t="shared" si="17"/>
        <v>-373.94579999999996</v>
      </c>
      <c r="P38" s="84">
        <f t="shared" si="17"/>
        <v>-396.38254799999999</v>
      </c>
      <c r="Q38" s="84">
        <f t="shared" si="17"/>
        <v>-420.16550087999997</v>
      </c>
      <c r="R38" s="84">
        <f t="shared" si="17"/>
        <v>-439.09187479351351</v>
      </c>
    </row>
    <row r="39" spans="1:18" x14ac:dyDescent="0.25">
      <c r="A39" s="1"/>
      <c r="B39" s="67" t="s">
        <v>18</v>
      </c>
      <c r="C39" s="68">
        <f>C38/C11</f>
        <v>-2.0675944333996023E-2</v>
      </c>
      <c r="D39" s="68">
        <f>D38/D11</f>
        <v>-2.0404526418961063E-2</v>
      </c>
      <c r="E39" s="68">
        <f>E38/E11</f>
        <v>-1.0607441783376149E-2</v>
      </c>
      <c r="F39" s="68">
        <f t="shared" ref="F39:H39" si="18">F38/F11</f>
        <v>-8.30929024812464E-2</v>
      </c>
      <c r="G39" s="68">
        <f t="shared" si="18"/>
        <v>-2.605257036520121E-2</v>
      </c>
      <c r="H39" s="68">
        <f t="shared" si="18"/>
        <v>-4.6884374732150513E-2</v>
      </c>
      <c r="I39" s="75">
        <v>-0.04</v>
      </c>
      <c r="J39" s="76">
        <v>-3.5000000000000003E-2</v>
      </c>
      <c r="K39" s="76">
        <v>-0.03</v>
      </c>
      <c r="L39" s="76">
        <v>-2.5000000000000001E-2</v>
      </c>
      <c r="M39" s="76">
        <v>-0.02</v>
      </c>
      <c r="N39" s="76">
        <v>-0.02</v>
      </c>
      <c r="O39" s="76">
        <v>-0.02</v>
      </c>
      <c r="P39" s="76">
        <v>-0.02</v>
      </c>
      <c r="Q39" s="76">
        <v>-0.02</v>
      </c>
      <c r="R39" s="76">
        <v>-0.02</v>
      </c>
    </row>
    <row r="40" spans="1:18" x14ac:dyDescent="0.25">
      <c r="A40" s="1"/>
      <c r="B40" s="1"/>
      <c r="C40" s="20"/>
      <c r="D40" s="20"/>
      <c r="E40" s="20"/>
      <c r="F40" s="20"/>
      <c r="G40" s="20"/>
      <c r="H40" s="20"/>
      <c r="I40" s="77"/>
    </row>
    <row r="41" spans="1:18" x14ac:dyDescent="0.25">
      <c r="A41" s="1"/>
      <c r="B41" s="1" t="s">
        <v>16</v>
      </c>
      <c r="C41" s="12">
        <f>C37+C38</f>
        <v>417</v>
      </c>
      <c r="D41" s="12">
        <f>D37+D38</f>
        <v>485</v>
      </c>
      <c r="E41" s="12">
        <f>E37+E38</f>
        <v>775</v>
      </c>
      <c r="F41" s="12">
        <f>F37+F38</f>
        <v>-3151</v>
      </c>
      <c r="G41" s="12">
        <f t="shared" ref="G41:R41" si="19">G37+G38</f>
        <v>-38</v>
      </c>
      <c r="H41" s="12">
        <f t="shared" si="19"/>
        <v>538</v>
      </c>
      <c r="I41" s="12">
        <f t="shared" si="19"/>
        <v>1500.5355731696684</v>
      </c>
      <c r="J41" s="12">
        <f t="shared" si="19"/>
        <v>1737.7984356092252</v>
      </c>
      <c r="K41" s="12">
        <f t="shared" si="19"/>
        <v>2020.9817820543274</v>
      </c>
      <c r="L41" s="12">
        <f t="shared" si="19"/>
        <v>2172.3135501972974</v>
      </c>
      <c r="M41" s="12">
        <f t="shared" si="19"/>
        <v>2522.107873691898</v>
      </c>
      <c r="N41" s="12">
        <f t="shared" si="19"/>
        <v>2814.5721113783975</v>
      </c>
      <c r="O41" s="12">
        <f t="shared" si="19"/>
        <v>3093.4395568502305</v>
      </c>
      <c r="P41" s="12">
        <f t="shared" si="19"/>
        <v>2926.2839969678821</v>
      </c>
      <c r="Q41" s="12">
        <f t="shared" si="19"/>
        <v>2666.3706895195382</v>
      </c>
      <c r="R41" s="12">
        <f t="shared" si="19"/>
        <v>2810.5944267128725</v>
      </c>
    </row>
    <row r="42" spans="1:18" x14ac:dyDescent="0.25">
      <c r="A42" s="1"/>
      <c r="B42" s="1"/>
      <c r="C42" s="20"/>
      <c r="D42" s="20"/>
      <c r="E42" s="20"/>
      <c r="F42" s="20"/>
      <c r="G42" s="20"/>
      <c r="H42" s="20"/>
      <c r="I42" s="77"/>
    </row>
    <row r="43" spans="1:18" x14ac:dyDescent="0.25">
      <c r="A43" s="1"/>
      <c r="B43" s="1" t="s">
        <v>17</v>
      </c>
      <c r="C43" s="12">
        <f>C37</f>
        <v>625</v>
      </c>
      <c r="D43" s="12">
        <f>D37</f>
        <v>714</v>
      </c>
      <c r="E43" s="12">
        <f>E37</f>
        <v>903</v>
      </c>
      <c r="F43" s="12">
        <f t="shared" ref="F43:R43" si="20">F37</f>
        <v>-2719</v>
      </c>
      <c r="G43" s="12">
        <f t="shared" si="20"/>
        <v>186</v>
      </c>
      <c r="H43" s="12">
        <f t="shared" si="20"/>
        <v>1085</v>
      </c>
      <c r="I43" s="12">
        <f>I37-I50</f>
        <v>1266.1955731696685</v>
      </c>
      <c r="J43" s="12">
        <f t="shared" ref="J43:R43" si="21">J37-J50</f>
        <v>1443.1084356092251</v>
      </c>
      <c r="K43" s="12">
        <f t="shared" si="21"/>
        <v>1658.5417820543271</v>
      </c>
      <c r="L43" s="12">
        <f t="shared" si="21"/>
        <v>1593.7835501972975</v>
      </c>
      <c r="M43" s="12">
        <f t="shared" si="21"/>
        <v>1882.8078736918978</v>
      </c>
      <c r="N43" s="12">
        <f t="shared" si="21"/>
        <v>2259.6721113783979</v>
      </c>
      <c r="O43" s="12">
        <f t="shared" si="21"/>
        <v>2561.9853568502303</v>
      </c>
      <c r="P43" s="12">
        <f t="shared" si="21"/>
        <v>2332.6665449678821</v>
      </c>
      <c r="Q43" s="12">
        <f t="shared" si="21"/>
        <v>2015.1141631555383</v>
      </c>
      <c r="R43" s="12">
        <f t="shared" si="21"/>
        <v>2130.0020207829266</v>
      </c>
    </row>
    <row r="44" spans="1:18" x14ac:dyDescent="0.25">
      <c r="A44" s="1"/>
      <c r="B44" s="67" t="s">
        <v>18</v>
      </c>
      <c r="C44" s="68">
        <f>C43/C11</f>
        <v>6.2127236580516901E-2</v>
      </c>
      <c r="D44" s="68">
        <f>D43/D11</f>
        <v>6.3619353114140603E-2</v>
      </c>
      <c r="E44" s="68">
        <f>E43/E11</f>
        <v>7.4832186956161437E-2</v>
      </c>
      <c r="F44" s="68">
        <f t="shared" ref="F44:H44" si="22">F43/F11</f>
        <v>-0.52298518945951145</v>
      </c>
      <c r="G44" s="68">
        <f t="shared" si="22"/>
        <v>2.1632937892533146E-2</v>
      </c>
      <c r="H44" s="68">
        <f t="shared" si="22"/>
        <v>9.2997342933059057E-2</v>
      </c>
      <c r="I44" s="75">
        <f t="shared" ref="I44:R44" si="23">I43/I11</f>
        <v>9.8690223941517413E-2</v>
      </c>
      <c r="J44" s="76">
        <f t="shared" si="23"/>
        <v>0.10307917397208752</v>
      </c>
      <c r="K44" s="76">
        <f t="shared" si="23"/>
        <v>0.10961941718799255</v>
      </c>
      <c r="L44" s="76">
        <f t="shared" si="23"/>
        <v>0.10011203204756894</v>
      </c>
      <c r="M44" s="76">
        <f t="shared" si="23"/>
        <v>0.11121133335451257</v>
      </c>
      <c r="N44" s="76">
        <f t="shared" si="23"/>
        <v>0.12701923054403585</v>
      </c>
      <c r="O44" s="76">
        <f t="shared" si="23"/>
        <v>0.13702442208738436</v>
      </c>
      <c r="P44" s="76">
        <f t="shared" si="23"/>
        <v>0.11769774207959743</v>
      </c>
      <c r="Q44" s="76">
        <f t="shared" si="23"/>
        <v>9.5920020036631165E-2</v>
      </c>
      <c r="R44" s="76">
        <f t="shared" si="23"/>
        <v>9.7018512209299121E-2</v>
      </c>
    </row>
    <row r="45" spans="1:18" x14ac:dyDescent="0.25">
      <c r="A45" s="1"/>
      <c r="B45" s="14"/>
      <c r="C45" s="1"/>
      <c r="D45" s="1"/>
      <c r="E45" s="1"/>
      <c r="G45" s="1"/>
      <c r="H45" s="1"/>
      <c r="I45" s="77"/>
    </row>
    <row r="46" spans="1:18" x14ac:dyDescent="0.25">
      <c r="A46" s="1"/>
      <c r="B46" s="1" t="s">
        <v>19</v>
      </c>
      <c r="C46" s="19">
        <f>'Raw IS'!J25</f>
        <v>-45</v>
      </c>
      <c r="D46" s="19">
        <f>'Raw IS'!K25</f>
        <v>-87</v>
      </c>
      <c r="E46" s="19">
        <f>'Raw IS'!L25</f>
        <v>-203</v>
      </c>
      <c r="F46" s="21">
        <f>'Raw IS'!C27</f>
        <v>423</v>
      </c>
      <c r="G46" s="21">
        <f>'Raw IS'!D27</f>
        <v>53</v>
      </c>
      <c r="H46" s="21">
        <f>'Raw IS'!E27</f>
        <v>-195</v>
      </c>
      <c r="I46" s="74">
        <f>I47*I43</f>
        <v>-234.24618103638866</v>
      </c>
      <c r="J46" s="24">
        <f t="shared" ref="J46:R46" si="24">J47*J43</f>
        <v>-266.97506058770665</v>
      </c>
      <c r="K46" s="24">
        <f t="shared" si="24"/>
        <v>-306.83022968005048</v>
      </c>
      <c r="L46" s="24">
        <f t="shared" si="24"/>
        <v>-294.8499567865</v>
      </c>
      <c r="M46" s="24">
        <f t="shared" si="24"/>
        <v>-348.3194566330011</v>
      </c>
      <c r="N46" s="24">
        <f t="shared" si="24"/>
        <v>-418.03934060500359</v>
      </c>
      <c r="O46" s="24">
        <f t="shared" si="24"/>
        <v>-473.96729101729261</v>
      </c>
      <c r="P46" s="24">
        <f t="shared" si="24"/>
        <v>-431.54331081905821</v>
      </c>
      <c r="Q46" s="24">
        <f t="shared" si="24"/>
        <v>-372.79612018377458</v>
      </c>
      <c r="R46" s="24">
        <f t="shared" si="24"/>
        <v>-394.05037384484143</v>
      </c>
    </row>
    <row r="47" spans="1:18" x14ac:dyDescent="0.25">
      <c r="A47" s="1"/>
      <c r="B47" s="67" t="s">
        <v>20</v>
      </c>
      <c r="C47" s="72">
        <f>C46/C43</f>
        <v>-7.1999999999999995E-2</v>
      </c>
      <c r="D47" s="72">
        <f>D46/D43</f>
        <v>-0.12184873949579832</v>
      </c>
      <c r="E47" s="72">
        <f>E46/E43</f>
        <v>-0.22480620155038761</v>
      </c>
      <c r="F47" s="72">
        <f t="shared" ref="F47:H47" si="25">F46/F43</f>
        <v>-0.15557190143435087</v>
      </c>
      <c r="G47" s="72">
        <f t="shared" si="25"/>
        <v>0.28494623655913981</v>
      </c>
      <c r="H47" s="72">
        <f t="shared" si="25"/>
        <v>-0.17972350230414746</v>
      </c>
      <c r="I47" s="85">
        <v>-0.185</v>
      </c>
      <c r="J47" s="85">
        <v>-0.185</v>
      </c>
      <c r="K47" s="85">
        <v>-0.185</v>
      </c>
      <c r="L47" s="85">
        <v>-0.185</v>
      </c>
      <c r="M47" s="85">
        <v>-0.185</v>
      </c>
      <c r="N47" s="85">
        <v>-0.185</v>
      </c>
      <c r="O47" s="85">
        <v>-0.185</v>
      </c>
      <c r="P47" s="85">
        <v>-0.185</v>
      </c>
      <c r="Q47" s="85">
        <v>-0.185</v>
      </c>
      <c r="R47" s="85">
        <v>-0.185</v>
      </c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77"/>
    </row>
    <row r="49" spans="1:86" x14ac:dyDescent="0.25">
      <c r="A49" s="1"/>
      <c r="B49" s="10" t="s">
        <v>21</v>
      </c>
      <c r="C49" s="10">
        <v>2017</v>
      </c>
      <c r="D49" s="10">
        <v>2018</v>
      </c>
      <c r="E49" s="10">
        <v>2019</v>
      </c>
      <c r="F49" s="10">
        <v>2020</v>
      </c>
      <c r="G49" s="10">
        <v>2021</v>
      </c>
      <c r="H49" s="10">
        <v>2022</v>
      </c>
      <c r="I49" s="86">
        <v>2023</v>
      </c>
      <c r="J49" s="92">
        <v>2024</v>
      </c>
      <c r="K49" s="92">
        <v>2025</v>
      </c>
      <c r="L49" s="92">
        <v>2026</v>
      </c>
      <c r="M49" s="92">
        <v>2027</v>
      </c>
      <c r="N49" s="92">
        <v>2028</v>
      </c>
      <c r="O49" s="92">
        <v>2029</v>
      </c>
      <c r="P49" s="92">
        <v>2030</v>
      </c>
      <c r="Q49" s="92">
        <v>2031</v>
      </c>
      <c r="R49" s="92">
        <v>2032</v>
      </c>
      <c r="S49" s="10">
        <v>2033</v>
      </c>
      <c r="T49" s="10">
        <v>2034</v>
      </c>
      <c r="U49" s="10">
        <v>2035</v>
      </c>
      <c r="V49" s="10">
        <v>2036</v>
      </c>
      <c r="W49" s="10">
        <v>2037</v>
      </c>
      <c r="X49" s="10">
        <v>2038</v>
      </c>
      <c r="Y49" s="10">
        <v>2039</v>
      </c>
      <c r="Z49" s="10">
        <v>2040</v>
      </c>
      <c r="AA49" s="10">
        <v>2041</v>
      </c>
      <c r="AB49" s="10">
        <v>2042</v>
      </c>
      <c r="AC49" s="10">
        <v>2043</v>
      </c>
      <c r="AD49" s="10">
        <v>2044</v>
      </c>
      <c r="AE49" s="10">
        <v>2045</v>
      </c>
      <c r="AF49" s="10">
        <v>2046</v>
      </c>
      <c r="AG49" s="10">
        <v>2047</v>
      </c>
      <c r="AH49" s="10">
        <v>2048</v>
      </c>
      <c r="AI49" s="10">
        <v>2049</v>
      </c>
      <c r="AJ49" s="10">
        <v>2050</v>
      </c>
      <c r="AK49" s="10">
        <v>2051</v>
      </c>
      <c r="AL49" s="10">
        <v>2052</v>
      </c>
      <c r="AM49" s="10">
        <v>2053</v>
      </c>
      <c r="AN49" s="10">
        <v>2054</v>
      </c>
      <c r="AO49" s="10">
        <v>2055</v>
      </c>
      <c r="AP49" s="10">
        <v>2056</v>
      </c>
      <c r="AQ49" s="10">
        <v>2057</v>
      </c>
      <c r="AR49" s="10">
        <v>2058</v>
      </c>
      <c r="AS49" s="10">
        <v>2059</v>
      </c>
      <c r="AT49" s="10">
        <v>2060</v>
      </c>
      <c r="AU49" s="10">
        <v>2061</v>
      </c>
      <c r="AV49" s="10">
        <v>2062</v>
      </c>
      <c r="AW49" s="10">
        <v>2063</v>
      </c>
      <c r="AX49" s="10">
        <v>2064</v>
      </c>
      <c r="AY49" s="10">
        <v>2065</v>
      </c>
      <c r="AZ49" s="10">
        <v>2066</v>
      </c>
      <c r="BA49" s="10">
        <v>2067</v>
      </c>
      <c r="BB49" s="10">
        <v>2068</v>
      </c>
      <c r="BC49" s="10">
        <v>2069</v>
      </c>
      <c r="BD49" s="10">
        <v>2070</v>
      </c>
      <c r="BE49" s="10">
        <v>2071</v>
      </c>
      <c r="BF49" s="10">
        <v>2072</v>
      </c>
      <c r="BG49" s="10">
        <v>2073</v>
      </c>
      <c r="BH49" s="10">
        <v>2074</v>
      </c>
      <c r="BI49" s="10">
        <v>2075</v>
      </c>
      <c r="BJ49" s="10">
        <v>2076</v>
      </c>
      <c r="BK49" s="10">
        <v>2077</v>
      </c>
      <c r="BL49" s="10">
        <v>2078</v>
      </c>
      <c r="BM49" s="10">
        <v>2079</v>
      </c>
      <c r="BN49" s="10">
        <v>2080</v>
      </c>
      <c r="BO49" s="10">
        <v>2081</v>
      </c>
      <c r="BP49" s="10">
        <v>2082</v>
      </c>
      <c r="BQ49" s="10">
        <v>2083</v>
      </c>
      <c r="BR49" s="10">
        <v>2084</v>
      </c>
      <c r="BS49" s="10">
        <v>2085</v>
      </c>
      <c r="BT49" s="10">
        <v>2086</v>
      </c>
      <c r="BU49" s="10">
        <v>2087</v>
      </c>
      <c r="BV49" s="10">
        <v>2088</v>
      </c>
      <c r="BW49" s="10">
        <v>2089</v>
      </c>
      <c r="BX49" s="10">
        <v>2090</v>
      </c>
      <c r="BY49" s="10">
        <v>2091</v>
      </c>
      <c r="BZ49" s="10">
        <v>2092</v>
      </c>
      <c r="CA49" s="10">
        <v>2093</v>
      </c>
      <c r="CB49" s="10">
        <v>2094</v>
      </c>
      <c r="CC49" s="10">
        <v>2095</v>
      </c>
      <c r="CD49" s="10">
        <v>2096</v>
      </c>
      <c r="CE49" s="10">
        <v>2097</v>
      </c>
      <c r="CF49" s="10">
        <v>2098</v>
      </c>
      <c r="CG49" s="10">
        <v>2099</v>
      </c>
      <c r="CH49" s="10">
        <v>2100</v>
      </c>
    </row>
    <row r="50" spans="1:86" x14ac:dyDescent="0.25">
      <c r="A50" s="1"/>
      <c r="B50" s="1" t="s">
        <v>22</v>
      </c>
      <c r="C50" s="12">
        <f>'Raw CF'!H10+'Raw CF'!H12</f>
        <v>889</v>
      </c>
      <c r="D50" s="12">
        <f>'Raw CF'!I10+'Raw CF'!I12</f>
        <v>1001</v>
      </c>
      <c r="E50" s="12">
        <f>'Raw CF'!J10+'Raw CF'!J12</f>
        <v>910</v>
      </c>
      <c r="F50" s="21">
        <f>'Raw CF'!B9+'Raw CF'!B12</f>
        <v>893</v>
      </c>
      <c r="G50" s="21">
        <f>'Raw CF'!C9+'Raw CF'!C12</f>
        <v>814</v>
      </c>
      <c r="H50" s="21">
        <f>'Raw CF'!D9+'Raw CF'!D12</f>
        <v>792</v>
      </c>
      <c r="I50" s="74">
        <v>747.54</v>
      </c>
      <c r="J50" s="24">
        <v>784.69</v>
      </c>
      <c r="K50" s="24">
        <v>816.34</v>
      </c>
      <c r="L50" s="24">
        <v>976.53</v>
      </c>
      <c r="M50" s="24">
        <v>977.9</v>
      </c>
      <c r="N50" s="24">
        <v>910.7</v>
      </c>
      <c r="O50" s="24">
        <v>905.4</v>
      </c>
      <c r="P50" s="24">
        <v>990</v>
      </c>
      <c r="Q50" s="24">
        <f t="shared" ref="J50:R50" si="26">Q51*Q11</f>
        <v>1071.4220272439998</v>
      </c>
      <c r="R50" s="24">
        <f t="shared" si="26"/>
        <v>1119.6842807234593</v>
      </c>
    </row>
    <row r="51" spans="1:86" x14ac:dyDescent="0.25">
      <c r="A51" s="1"/>
      <c r="B51" s="67" t="s">
        <v>18</v>
      </c>
      <c r="C51" s="68">
        <f>C50/C11</f>
        <v>8.8369781312127235E-2</v>
      </c>
      <c r="D51" s="68">
        <f>D50/D11</f>
        <v>8.919183818943241E-2</v>
      </c>
      <c r="E51" s="68">
        <f>E50/E11</f>
        <v>7.5412281428689817E-2</v>
      </c>
      <c r="F51" s="68">
        <f t="shared" ref="F51:P51" si="27">F50/F11</f>
        <v>0.1717638007309098</v>
      </c>
      <c r="G51" s="68">
        <f t="shared" si="27"/>
        <v>9.4673179809257962E-2</v>
      </c>
      <c r="H51" s="68">
        <f t="shared" si="27"/>
        <v>6.7883774749292872E-2</v>
      </c>
      <c r="I51" s="68">
        <f t="shared" si="27"/>
        <v>5.8265003897116134E-2</v>
      </c>
      <c r="J51" s="68">
        <f t="shared" si="27"/>
        <v>5.6049285714285725E-2</v>
      </c>
      <c r="K51" s="68">
        <f t="shared" si="27"/>
        <v>5.3955056179775286E-2</v>
      </c>
      <c r="L51" s="68">
        <f t="shared" si="27"/>
        <v>6.1339824120603015E-2</v>
      </c>
      <c r="M51" s="68">
        <f t="shared" si="27"/>
        <v>5.7761370348493796E-2</v>
      </c>
      <c r="N51" s="68">
        <f t="shared" si="27"/>
        <v>5.1191680719505341E-2</v>
      </c>
      <c r="O51" s="68">
        <f t="shared" si="27"/>
        <v>4.8424129914014284E-2</v>
      </c>
      <c r="P51" s="68">
        <f t="shared" si="27"/>
        <v>4.9951745100543635E-2</v>
      </c>
      <c r="Q51" s="90">
        <v>5.0999999999999997E-2</v>
      </c>
      <c r="R51" s="90">
        <v>5.0999999999999997E-2</v>
      </c>
    </row>
    <row r="52" spans="1:86" x14ac:dyDescent="0.25">
      <c r="A52" s="1"/>
      <c r="B52" s="1"/>
      <c r="C52" s="1"/>
      <c r="D52" s="1"/>
      <c r="E52" s="1"/>
      <c r="G52" s="1"/>
      <c r="H52" s="1"/>
      <c r="I52" s="77"/>
    </row>
    <row r="53" spans="1:86" x14ac:dyDescent="0.25">
      <c r="A53" s="1"/>
      <c r="B53" s="1" t="s">
        <v>23</v>
      </c>
      <c r="C53" s="12">
        <f>'Raw CF'!H33</f>
        <v>-710</v>
      </c>
      <c r="D53" s="12">
        <f>'Raw CF'!I33</f>
        <v>-878</v>
      </c>
      <c r="E53" s="12">
        <f>'Raw CF'!J33</f>
        <v>-1160</v>
      </c>
      <c r="F53" s="21">
        <f>'Raw CF'!B33</f>
        <v>-797</v>
      </c>
      <c r="G53" s="21">
        <f>'Raw CF'!C33</f>
        <v>-673</v>
      </c>
      <c r="H53" s="21">
        <f>'Raw CF'!D33</f>
        <v>-662</v>
      </c>
      <c r="I53" s="74">
        <v>-855.63</v>
      </c>
      <c r="J53" s="24">
        <v>-839.45</v>
      </c>
      <c r="K53" s="24">
        <v>-890.65</v>
      </c>
      <c r="L53" s="24">
        <v>-883.65</v>
      </c>
      <c r="M53" s="24">
        <v>-902.73</v>
      </c>
      <c r="N53" s="24">
        <v>-916.62</v>
      </c>
      <c r="O53" s="24">
        <v>-1040</v>
      </c>
      <c r="P53" s="24">
        <v>-1140</v>
      </c>
      <c r="Q53" s="24">
        <v>-1260</v>
      </c>
      <c r="R53" s="24">
        <v>-1320</v>
      </c>
    </row>
    <row r="54" spans="1:86" x14ac:dyDescent="0.25">
      <c r="A54" s="1"/>
      <c r="B54" s="67" t="s">
        <v>18</v>
      </c>
      <c r="C54" s="68">
        <f>C53/C11</f>
        <v>-7.0576540755467196E-2</v>
      </c>
      <c r="D54" s="68">
        <f>D53/D11</f>
        <v>-7.8232201728593062E-2</v>
      </c>
      <c r="E54" s="68">
        <f>E53/E11</f>
        <v>-9.6129941161846352E-2</v>
      </c>
      <c r="F54" s="68">
        <f t="shared" ref="F54:R54" si="28">F53/F11</f>
        <v>-0.15329871129063283</v>
      </c>
      <c r="G54" s="68">
        <f t="shared" si="28"/>
        <v>-7.8274017213305416E-2</v>
      </c>
      <c r="H54" s="68">
        <f t="shared" si="28"/>
        <v>-5.674123596468672E-2</v>
      </c>
      <c r="I54" s="68">
        <f t="shared" si="28"/>
        <v>-6.6689789555728754E-2</v>
      </c>
      <c r="J54" s="68">
        <f t="shared" si="28"/>
        <v>-5.9960714285714298E-2</v>
      </c>
      <c r="K54" s="68">
        <f t="shared" si="28"/>
        <v>-5.8866490416391283E-2</v>
      </c>
      <c r="L54" s="68">
        <f t="shared" si="28"/>
        <v>-5.550565326633166E-2</v>
      </c>
      <c r="M54" s="68">
        <f t="shared" si="28"/>
        <v>-5.3321323095097461E-2</v>
      </c>
      <c r="N54" s="68">
        <f t="shared" si="28"/>
        <v>-5.152445193929174E-2</v>
      </c>
      <c r="O54" s="68">
        <f t="shared" si="28"/>
        <v>-5.5623034140241723E-2</v>
      </c>
      <c r="P54" s="68">
        <f t="shared" si="28"/>
        <v>-5.7520191327898734E-2</v>
      </c>
      <c r="Q54" s="68">
        <f t="shared" si="28"/>
        <v>-5.997636632998378E-2</v>
      </c>
      <c r="R54" s="68">
        <f t="shared" si="28"/>
        <v>-6.0124091370205412E-2</v>
      </c>
    </row>
    <row r="55" spans="1:86" x14ac:dyDescent="0.25">
      <c r="A55" s="1"/>
      <c r="B55" s="1"/>
      <c r="C55" s="1"/>
      <c r="D55" s="1"/>
      <c r="E55" s="1"/>
      <c r="G55" s="1"/>
      <c r="H55" s="1"/>
      <c r="I55" s="77"/>
    </row>
    <row r="56" spans="1:86" x14ac:dyDescent="0.25">
      <c r="A56" s="1"/>
      <c r="B56" s="1" t="s">
        <v>24</v>
      </c>
      <c r="C56" s="21">
        <f>SUM('Raw CF'!H22:H29)</f>
        <v>639</v>
      </c>
      <c r="D56" s="21">
        <f>SUM('Raw CF'!I22:I29)</f>
        <v>382</v>
      </c>
      <c r="E56" s="21">
        <f>SUM('Raw CF'!J22:J29)</f>
        <v>1191</v>
      </c>
      <c r="F56" s="21">
        <f>SUM('Raw CF'!B24:B30)</f>
        <v>-2902</v>
      </c>
      <c r="G56" s="21">
        <f>SUM('Raw CF'!C24:C30)</f>
        <v>2620</v>
      </c>
      <c r="H56" s="21">
        <f>SUM('Raw CF'!D24:D30)</f>
        <v>1261</v>
      </c>
      <c r="I56" s="74">
        <f>I57*I11</f>
        <v>436.22</v>
      </c>
      <c r="J56" s="24">
        <f t="shared" ref="J56:R56" si="29">J57*J11</f>
        <v>476</v>
      </c>
      <c r="K56" s="24">
        <f t="shared" si="29"/>
        <v>514.41999999999996</v>
      </c>
      <c r="L56" s="24">
        <f t="shared" si="29"/>
        <v>541.28000000000009</v>
      </c>
      <c r="M56" s="24">
        <f t="shared" si="29"/>
        <v>575.62</v>
      </c>
      <c r="N56" s="24">
        <f t="shared" si="29"/>
        <v>604.86</v>
      </c>
      <c r="O56" s="24">
        <f t="shared" si="29"/>
        <v>635.70785999999998</v>
      </c>
      <c r="P56" s="24">
        <f t="shared" si="29"/>
        <v>673.8503316</v>
      </c>
      <c r="Q56" s="24">
        <f t="shared" si="29"/>
        <v>714.28135149599996</v>
      </c>
      <c r="R56" s="24">
        <f t="shared" si="29"/>
        <v>746.45618714897296</v>
      </c>
    </row>
    <row r="57" spans="1:86" x14ac:dyDescent="0.25">
      <c r="A57" s="1"/>
      <c r="B57" s="67" t="s">
        <v>18</v>
      </c>
      <c r="C57" s="68">
        <f>C56/C11</f>
        <v>6.3518886679920478E-2</v>
      </c>
      <c r="D57" s="68">
        <f>D56/D11</f>
        <v>3.403724494341976E-2</v>
      </c>
      <c r="E57" s="68">
        <f>E56/E11</f>
        <v>9.8698930968757773E-2</v>
      </c>
      <c r="F57" s="68">
        <f t="shared" ref="F57:H57" si="30">F56/F11</f>
        <v>-0.55818426620503947</v>
      </c>
      <c r="G57" s="68">
        <f t="shared" si="30"/>
        <v>0.30472202837869272</v>
      </c>
      <c r="H57" s="68">
        <f t="shared" si="30"/>
        <v>0.1080826262106797</v>
      </c>
      <c r="I57" s="87">
        <v>3.4000000000000002E-2</v>
      </c>
      <c r="J57" s="87">
        <v>3.4000000000000002E-2</v>
      </c>
      <c r="K57" s="87">
        <v>3.4000000000000002E-2</v>
      </c>
      <c r="L57" s="87">
        <v>3.4000000000000002E-2</v>
      </c>
      <c r="M57" s="87">
        <v>3.4000000000000002E-2</v>
      </c>
      <c r="N57" s="87">
        <v>3.4000000000000002E-2</v>
      </c>
      <c r="O57" s="87">
        <v>3.4000000000000002E-2</v>
      </c>
      <c r="P57" s="87">
        <v>3.4000000000000002E-2</v>
      </c>
      <c r="Q57" s="87">
        <v>3.4000000000000002E-2</v>
      </c>
      <c r="R57" s="87">
        <v>3.4000000000000002E-2</v>
      </c>
    </row>
    <row r="58" spans="1:86" x14ac:dyDescent="0.25">
      <c r="A58" s="1"/>
      <c r="B58" s="1"/>
      <c r="C58" s="1"/>
      <c r="D58" s="1"/>
      <c r="E58" s="1"/>
      <c r="F58" s="1"/>
      <c r="G58" s="1"/>
      <c r="H58" s="1"/>
      <c r="I58" s="77"/>
    </row>
    <row r="59" spans="1:86" x14ac:dyDescent="0.25">
      <c r="A59" s="1"/>
      <c r="B59" s="10" t="s">
        <v>25</v>
      </c>
      <c r="C59" s="12">
        <f>C43+C46</f>
        <v>580</v>
      </c>
      <c r="D59" s="12">
        <f t="shared" ref="D59:R59" si="31">D43+D46</f>
        <v>627</v>
      </c>
      <c r="E59" s="12">
        <f t="shared" si="31"/>
        <v>700</v>
      </c>
      <c r="F59" s="12">
        <f>F43+F46</f>
        <v>-2296</v>
      </c>
      <c r="G59" s="12">
        <f t="shared" si="31"/>
        <v>239</v>
      </c>
      <c r="H59" s="12">
        <f t="shared" si="31"/>
        <v>890</v>
      </c>
      <c r="I59" s="12">
        <f>I43+I46</f>
        <v>1031.9493921332798</v>
      </c>
      <c r="J59" s="12">
        <f t="shared" si="31"/>
        <v>1176.1333750215185</v>
      </c>
      <c r="K59" s="12">
        <f t="shared" si="31"/>
        <v>1351.7115523742766</v>
      </c>
      <c r="L59" s="12">
        <f t="shared" si="31"/>
        <v>1298.9335934107976</v>
      </c>
      <c r="M59" s="12">
        <f t="shared" si="31"/>
        <v>1534.4884170588966</v>
      </c>
      <c r="N59" s="12">
        <f t="shared" si="31"/>
        <v>1841.6327707733942</v>
      </c>
      <c r="O59" s="12">
        <f t="shared" si="31"/>
        <v>2088.0180658329377</v>
      </c>
      <c r="P59" s="12">
        <f t="shared" si="31"/>
        <v>1901.1232341488239</v>
      </c>
      <c r="Q59" s="12">
        <f t="shared" si="31"/>
        <v>1642.3180429717638</v>
      </c>
      <c r="R59" s="12">
        <f t="shared" si="31"/>
        <v>1735.9516469380851</v>
      </c>
    </row>
    <row r="60" spans="1:86" x14ac:dyDescent="0.25">
      <c r="A60" s="1"/>
      <c r="B60" s="10" t="s">
        <v>56</v>
      </c>
      <c r="C60" s="12">
        <v>6</v>
      </c>
      <c r="D60" s="12">
        <v>8</v>
      </c>
      <c r="E60" s="12">
        <v>-7</v>
      </c>
      <c r="F60" s="12">
        <f>'Raw IS'!C29</f>
        <v>116</v>
      </c>
      <c r="G60" s="12">
        <f>'Raw IS'!D29</f>
        <v>-3</v>
      </c>
      <c r="H60" s="12">
        <f>'Raw IS'!E29</f>
        <v>9</v>
      </c>
      <c r="I60" s="80">
        <f>-220</f>
        <v>-220</v>
      </c>
      <c r="J60" s="80">
        <f t="shared" ref="J60:R60" si="32">-220</f>
        <v>-220</v>
      </c>
      <c r="K60" s="80">
        <f t="shared" si="32"/>
        <v>-220</v>
      </c>
      <c r="L60" s="80">
        <v>-280</v>
      </c>
      <c r="M60" s="80">
        <v>-280</v>
      </c>
      <c r="N60" s="80">
        <v>-280</v>
      </c>
      <c r="O60" s="80">
        <v>-280</v>
      </c>
      <c r="P60" s="80">
        <v>-280</v>
      </c>
      <c r="Q60" s="80">
        <v>-280</v>
      </c>
      <c r="R60" s="80">
        <v>-280</v>
      </c>
    </row>
    <row r="61" spans="1:86" x14ac:dyDescent="0.25">
      <c r="A61" s="1"/>
      <c r="B61" s="10" t="s">
        <v>26</v>
      </c>
      <c r="C61" s="12">
        <f>C41+C46+C60</f>
        <v>378</v>
      </c>
      <c r="D61" s="12">
        <f t="shared" ref="D61:H61" si="33">D41+D46+D60</f>
        <v>406</v>
      </c>
      <c r="E61" s="12">
        <f t="shared" si="33"/>
        <v>565</v>
      </c>
      <c r="F61" s="12">
        <f t="shared" si="33"/>
        <v>-2612</v>
      </c>
      <c r="G61" s="12">
        <f t="shared" si="33"/>
        <v>12</v>
      </c>
      <c r="H61" s="12">
        <f t="shared" si="33"/>
        <v>352</v>
      </c>
      <c r="I61" s="12">
        <f t="shared" ref="I61" si="34">I41+I46+I60</f>
        <v>1046.2893921332798</v>
      </c>
      <c r="J61" s="12">
        <f t="shared" ref="J61" si="35">J41+J46+J60</f>
        <v>1250.8233750215186</v>
      </c>
      <c r="K61" s="12">
        <f t="shared" ref="K61" si="36">K41+K46+K60</f>
        <v>1494.1515523742769</v>
      </c>
      <c r="L61" s="12">
        <f t="shared" ref="L61" si="37">L41+L46+L60</f>
        <v>1597.4635934107973</v>
      </c>
      <c r="M61" s="12">
        <f t="shared" ref="M61" si="38">M41+M46+M60</f>
        <v>1893.7884170588968</v>
      </c>
      <c r="N61" s="12">
        <f t="shared" ref="N61" si="39">N41+N46+N60</f>
        <v>2116.5327707733941</v>
      </c>
      <c r="O61" s="12">
        <f t="shared" ref="O61" si="40">O41+O46+O60</f>
        <v>2339.4722658329379</v>
      </c>
      <c r="P61" s="12">
        <f t="shared" ref="P61" si="41">P41+P46+P60</f>
        <v>2214.7406861488239</v>
      </c>
      <c r="Q61" s="12">
        <f t="shared" ref="Q61" si="42">Q41+Q46+Q60</f>
        <v>2013.5745693357635</v>
      </c>
      <c r="R61" s="12">
        <f t="shared" ref="R61" si="43">R41+R46+R60</f>
        <v>2136.544052868031</v>
      </c>
      <c r="S61" s="58">
        <f>R61*(1+$E$6)</f>
        <v>2200.6403744540721</v>
      </c>
      <c r="T61" s="58">
        <f t="shared" ref="T61:CE61" si="44">S61*(1+$E$6)</f>
        <v>2266.6595856876943</v>
      </c>
      <c r="U61" s="58">
        <f t="shared" si="44"/>
        <v>2334.6593732583251</v>
      </c>
      <c r="V61" s="58">
        <f t="shared" si="44"/>
        <v>2404.6991544560751</v>
      </c>
      <c r="W61" s="58">
        <f t="shared" si="44"/>
        <v>2476.8401290897573</v>
      </c>
      <c r="X61" s="58">
        <f t="shared" si="44"/>
        <v>2551.1453329624501</v>
      </c>
      <c r="Y61" s="58">
        <f t="shared" si="44"/>
        <v>2627.6796929513234</v>
      </c>
      <c r="Z61" s="58">
        <f t="shared" si="44"/>
        <v>2706.5100837398631</v>
      </c>
      <c r="AA61" s="58">
        <f t="shared" si="44"/>
        <v>2787.7053862520593</v>
      </c>
      <c r="AB61" s="58">
        <f t="shared" si="44"/>
        <v>2871.3365478396213</v>
      </c>
      <c r="AC61" s="58">
        <f t="shared" si="44"/>
        <v>2957.47664427481</v>
      </c>
      <c r="AD61" s="58">
        <f t="shared" si="44"/>
        <v>3046.2009436030544</v>
      </c>
      <c r="AE61" s="58">
        <f t="shared" si="44"/>
        <v>3137.5869719111461</v>
      </c>
      <c r="AF61" s="58">
        <f t="shared" si="44"/>
        <v>3231.7145810684806</v>
      </c>
      <c r="AG61" s="58">
        <f t="shared" si="44"/>
        <v>3328.6660185005353</v>
      </c>
      <c r="AH61" s="58">
        <f t="shared" si="44"/>
        <v>3428.5259990555514</v>
      </c>
      <c r="AI61" s="58">
        <f t="shared" si="44"/>
        <v>3531.3817790272183</v>
      </c>
      <c r="AJ61" s="58">
        <f t="shared" si="44"/>
        <v>3637.3232323980351</v>
      </c>
      <c r="AK61" s="58">
        <f t="shared" si="44"/>
        <v>3746.4429293699764</v>
      </c>
      <c r="AL61" s="58">
        <f t="shared" si="44"/>
        <v>3858.8362172510756</v>
      </c>
      <c r="AM61" s="58">
        <f t="shared" si="44"/>
        <v>3974.601303768608</v>
      </c>
      <c r="AN61" s="58">
        <f t="shared" si="44"/>
        <v>4093.8393428816662</v>
      </c>
      <c r="AO61" s="58">
        <f t="shared" si="44"/>
        <v>4216.6545231681166</v>
      </c>
      <c r="AP61" s="58">
        <f t="shared" si="44"/>
        <v>4343.1541588631599</v>
      </c>
      <c r="AQ61" s="58">
        <f t="shared" si="44"/>
        <v>4473.4487836290546</v>
      </c>
      <c r="AR61" s="58">
        <f t="shared" si="44"/>
        <v>4607.6522471379267</v>
      </c>
      <c r="AS61" s="58">
        <f t="shared" si="44"/>
        <v>4745.8818145520645</v>
      </c>
      <c r="AT61" s="58">
        <f t="shared" si="44"/>
        <v>4888.2582689886267</v>
      </c>
      <c r="AU61" s="58">
        <f t="shared" si="44"/>
        <v>5034.9060170582852</v>
      </c>
      <c r="AV61" s="58">
        <f t="shared" si="44"/>
        <v>5185.9531975700338</v>
      </c>
      <c r="AW61" s="58">
        <f t="shared" si="44"/>
        <v>5341.5317934971354</v>
      </c>
      <c r="AX61" s="58">
        <f t="shared" si="44"/>
        <v>5501.7777473020496</v>
      </c>
      <c r="AY61" s="58">
        <f t="shared" si="44"/>
        <v>5666.8310797211116</v>
      </c>
      <c r="AZ61" s="58">
        <f t="shared" si="44"/>
        <v>5836.8360121127453</v>
      </c>
      <c r="BA61" s="58">
        <f t="shared" si="44"/>
        <v>6011.9410924761278</v>
      </c>
      <c r="BB61" s="58">
        <f t="shared" si="44"/>
        <v>6192.299325250412</v>
      </c>
      <c r="BC61" s="58">
        <f t="shared" si="44"/>
        <v>6378.0683050079242</v>
      </c>
      <c r="BD61" s="58">
        <f t="shared" si="44"/>
        <v>6569.4103541581617</v>
      </c>
      <c r="BE61" s="58">
        <f t="shared" si="44"/>
        <v>6766.492664782907</v>
      </c>
      <c r="BF61" s="58">
        <f t="shared" si="44"/>
        <v>6969.4874447263946</v>
      </c>
      <c r="BG61" s="58">
        <f t="shared" si="44"/>
        <v>7178.572068068187</v>
      </c>
      <c r="BH61" s="58">
        <f t="shared" si="44"/>
        <v>7393.9292301102332</v>
      </c>
      <c r="BI61" s="58">
        <f t="shared" si="44"/>
        <v>7615.7471070135407</v>
      </c>
      <c r="BJ61" s="58">
        <f t="shared" si="44"/>
        <v>7844.2195202239473</v>
      </c>
      <c r="BK61" s="58">
        <f t="shared" si="44"/>
        <v>8079.5461058306655</v>
      </c>
      <c r="BL61" s="58">
        <f t="shared" si="44"/>
        <v>8321.932489005585</v>
      </c>
      <c r="BM61" s="58">
        <f t="shared" si="44"/>
        <v>8571.5904636757532</v>
      </c>
      <c r="BN61" s="58">
        <f t="shared" si="44"/>
        <v>8828.7381775860267</v>
      </c>
      <c r="BO61" s="58">
        <f t="shared" si="44"/>
        <v>9093.6003229136077</v>
      </c>
      <c r="BP61" s="58">
        <f t="shared" si="44"/>
        <v>9366.4083326010168</v>
      </c>
      <c r="BQ61" s="58">
        <f t="shared" si="44"/>
        <v>9647.4005825790482</v>
      </c>
      <c r="BR61" s="58">
        <f t="shared" si="44"/>
        <v>9936.8226000564191</v>
      </c>
      <c r="BS61" s="58">
        <f t="shared" si="44"/>
        <v>10234.927278058112</v>
      </c>
      <c r="BT61" s="58">
        <f t="shared" si="44"/>
        <v>10541.975096399856</v>
      </c>
      <c r="BU61" s="58">
        <f t="shared" si="44"/>
        <v>10858.234349291852</v>
      </c>
      <c r="BV61" s="58">
        <f t="shared" si="44"/>
        <v>11183.981379770608</v>
      </c>
      <c r="BW61" s="58">
        <f t="shared" si="44"/>
        <v>11519.500821163727</v>
      </c>
      <c r="BX61" s="58">
        <f t="shared" si="44"/>
        <v>11865.08584579864</v>
      </c>
      <c r="BY61" s="58">
        <f t="shared" si="44"/>
        <v>12221.0384211726</v>
      </c>
      <c r="BZ61" s="58">
        <f t="shared" si="44"/>
        <v>12587.669573807778</v>
      </c>
      <c r="CA61" s="58">
        <f t="shared" si="44"/>
        <v>12965.299661022011</v>
      </c>
      <c r="CB61" s="58">
        <f t="shared" si="44"/>
        <v>13354.258650852671</v>
      </c>
      <c r="CC61" s="58">
        <f t="shared" si="44"/>
        <v>13754.886410378251</v>
      </c>
      <c r="CD61" s="58">
        <f t="shared" si="44"/>
        <v>14167.533002689599</v>
      </c>
      <c r="CE61" s="58">
        <f t="shared" si="44"/>
        <v>14592.558992770288</v>
      </c>
      <c r="CF61" s="58">
        <f t="shared" ref="CF61:CH61" si="45">CE61*(1+$E$6)</f>
        <v>15030.335762553397</v>
      </c>
      <c r="CG61" s="58">
        <f t="shared" si="45"/>
        <v>15481.24583543</v>
      </c>
      <c r="CH61" s="58">
        <f t="shared" si="45"/>
        <v>15945.6832104929</v>
      </c>
    </row>
    <row r="62" spans="1:86" x14ac:dyDescent="0.25">
      <c r="A62" s="1"/>
      <c r="B62" s="6"/>
      <c r="C62" s="20"/>
      <c r="D62" s="20"/>
      <c r="E62" s="20"/>
      <c r="F62" s="20"/>
      <c r="G62" s="20"/>
      <c r="H62" s="20"/>
      <c r="I62" s="77"/>
    </row>
    <row r="63" spans="1:86" x14ac:dyDescent="0.25">
      <c r="A63" s="1"/>
      <c r="B63" s="10" t="s">
        <v>27</v>
      </c>
      <c r="C63" s="12">
        <f>C59+2*(C50-C28)+C53-C56</f>
        <v>459</v>
      </c>
      <c r="D63" s="12">
        <f t="shared" ref="D63:E63" si="46">D59+2*(D50-D28)+D53-D56</f>
        <v>803</v>
      </c>
      <c r="E63" s="12">
        <f t="shared" si="46"/>
        <v>-227</v>
      </c>
      <c r="F63" s="12">
        <f>F59+F53-F56+F50*2</f>
        <v>1595</v>
      </c>
      <c r="G63" s="12">
        <f t="shared" ref="G63:R63" si="47">G59+G53-G56+G50*2</f>
        <v>-1426</v>
      </c>
      <c r="H63" s="12">
        <f t="shared" si="47"/>
        <v>551</v>
      </c>
      <c r="I63" s="12">
        <f>I59+I53-I56+I50*2</f>
        <v>1235.1793921332796</v>
      </c>
      <c r="J63" s="12">
        <f t="shared" ref="J63:R63" si="48">J59+J53-J56+J50*2</f>
        <v>1430.0633750215186</v>
      </c>
      <c r="K63" s="12">
        <f t="shared" si="48"/>
        <v>1579.3215523742767</v>
      </c>
      <c r="L63" s="12">
        <f t="shared" si="48"/>
        <v>1827.0635934107975</v>
      </c>
      <c r="M63" s="12">
        <f t="shared" si="48"/>
        <v>2011.9384170588964</v>
      </c>
      <c r="N63" s="12">
        <f t="shared" si="48"/>
        <v>2141.5527707733945</v>
      </c>
      <c r="O63" s="12">
        <f t="shared" si="48"/>
        <v>2223.1102058329379</v>
      </c>
      <c r="P63" s="12">
        <f t="shared" si="48"/>
        <v>2067.2729025488238</v>
      </c>
      <c r="Q63" s="12">
        <f t="shared" si="48"/>
        <v>1810.8807459637633</v>
      </c>
      <c r="R63" s="12">
        <f t="shared" si="48"/>
        <v>1908.8640212360308</v>
      </c>
    </row>
    <row r="64" spans="1:86" x14ac:dyDescent="0.25">
      <c r="A64" s="1"/>
      <c r="B64" s="22" t="s">
        <v>28</v>
      </c>
      <c r="C64" s="1"/>
      <c r="D64" s="1"/>
      <c r="E64" s="1"/>
      <c r="F64" s="1"/>
      <c r="G64" s="1"/>
      <c r="H64" s="1"/>
      <c r="I64" s="60">
        <f t="shared" ref="I64:R64" si="49">I63/((1+$E$5)^I9)</f>
        <v>1133.8588054460704</v>
      </c>
      <c r="J64" s="59">
        <f t="shared" si="49"/>
        <v>1205.0724668243931</v>
      </c>
      <c r="K64" s="59">
        <f t="shared" si="49"/>
        <v>1221.6797679590304</v>
      </c>
      <c r="L64" s="59">
        <f t="shared" si="49"/>
        <v>1297.3866455866519</v>
      </c>
      <c r="M64" s="59">
        <f t="shared" si="49"/>
        <v>1311.473086786149</v>
      </c>
      <c r="N64" s="59">
        <f t="shared" si="49"/>
        <v>1281.4522255309528</v>
      </c>
      <c r="O64" s="59">
        <f t="shared" si="49"/>
        <v>1221.1346974255491</v>
      </c>
      <c r="P64" s="59">
        <f t="shared" si="49"/>
        <v>1042.3878267638163</v>
      </c>
      <c r="Q64" s="59">
        <f t="shared" si="49"/>
        <v>838.20512125660753</v>
      </c>
      <c r="R64" s="59">
        <f t="shared" si="49"/>
        <v>811.08130452665353</v>
      </c>
    </row>
    <row r="65" spans="1:18" x14ac:dyDescent="0.25">
      <c r="A65" s="1"/>
      <c r="B65" s="23"/>
      <c r="C65" s="23"/>
      <c r="D65" s="23"/>
      <c r="E65" s="23"/>
      <c r="F65" s="23"/>
      <c r="G65" s="23"/>
      <c r="H65" s="23"/>
      <c r="I65" s="16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 t="s">
        <v>29</v>
      </c>
      <c r="C66" s="24">
        <f>(R63*(1+$E$6))/($E$5-$E$6)</f>
        <v>33122.645059420138</v>
      </c>
      <c r="D66" s="1"/>
      <c r="E66" s="1" t="s">
        <v>30</v>
      </c>
      <c r="F66" s="19">
        <f>NPV($E$5,I61:CH61)</f>
        <v>26450.931669389545</v>
      </c>
      <c r="G66" s="1"/>
      <c r="H66" s="1"/>
      <c r="I66" s="16"/>
      <c r="J66" s="1"/>
      <c r="K66" s="1"/>
      <c r="L66" s="1"/>
      <c r="M66" s="1"/>
      <c r="N66" s="1"/>
      <c r="O66" s="1"/>
      <c r="P66" s="1"/>
      <c r="Q66" s="1"/>
    </row>
    <row r="67" spans="1:18" x14ac:dyDescent="0.25">
      <c r="A67" s="1"/>
      <c r="B67" s="3" t="s">
        <v>31</v>
      </c>
      <c r="C67" s="25">
        <f>C66/((1+$E$5)^$R$9)</f>
        <v>14073.898331831948</v>
      </c>
      <c r="D67" s="17"/>
      <c r="E67" s="3"/>
      <c r="F67" s="3"/>
      <c r="G67" s="3"/>
      <c r="H67" s="17"/>
      <c r="I67" s="13"/>
      <c r="J67" s="1"/>
      <c r="L67" s="48" t="s">
        <v>52</v>
      </c>
      <c r="M67" s="49"/>
      <c r="N67" s="49"/>
      <c r="O67" s="49"/>
      <c r="P67" s="49"/>
      <c r="Q67" s="48"/>
    </row>
    <row r="68" spans="1:18" x14ac:dyDescent="0.25">
      <c r="A68" s="1"/>
      <c r="B68" s="6" t="s">
        <v>32</v>
      </c>
      <c r="C68" s="6"/>
      <c r="D68" s="1"/>
      <c r="E68" s="6"/>
      <c r="F68" s="6"/>
      <c r="G68" s="26" t="s">
        <v>33</v>
      </c>
      <c r="H68" s="26" t="s">
        <v>30</v>
      </c>
      <c r="I68" s="16"/>
      <c r="J68" s="1"/>
      <c r="K68" s="48"/>
      <c r="L68" s="50">
        <f>D74</f>
        <v>146.81641267466637</v>
      </c>
      <c r="M68" s="51">
        <v>-0.01</v>
      </c>
      <c r="N68" s="51">
        <v>0.01</v>
      </c>
      <c r="O68" s="51">
        <v>0.03</v>
      </c>
      <c r="P68" s="51">
        <v>0.04</v>
      </c>
      <c r="Q68" s="51">
        <v>0.05</v>
      </c>
    </row>
    <row r="69" spans="1:18" x14ac:dyDescent="0.25">
      <c r="A69" s="1"/>
      <c r="B69" s="27" t="s">
        <v>34</v>
      </c>
      <c r="C69" s="1"/>
      <c r="D69" s="34">
        <f>6274+2484</f>
        <v>8758</v>
      </c>
      <c r="E69" s="1"/>
      <c r="F69" s="1"/>
      <c r="G69" s="24">
        <f>C67+SUM(I64:R64)</f>
        <v>25437.630279937821</v>
      </c>
      <c r="H69" s="19">
        <f>F66</f>
        <v>26450.931669389545</v>
      </c>
      <c r="I69" s="16"/>
      <c r="J69" s="1"/>
      <c r="K69" s="48"/>
      <c r="L69" s="52">
        <f>L70-1%</f>
        <v>6.9359086158306105E-2</v>
      </c>
      <c r="M69" s="53">
        <f t="dataTable" ref="M69:Q73" dt2D="1" dtr="1" r1="E6" r2="E5"/>
        <v>141.99166441371756</v>
      </c>
      <c r="N69" s="53">
        <v>173.66687398215657</v>
      </c>
      <c r="O69" s="53">
        <v>233.26557529129929</v>
      </c>
      <c r="P69" s="53">
        <v>287.49215921488394</v>
      </c>
      <c r="Q69" s="53">
        <v>383.90354498798592</v>
      </c>
    </row>
    <row r="70" spans="1:18" x14ac:dyDescent="0.25">
      <c r="A70" s="1"/>
      <c r="B70" s="28" t="s">
        <v>35</v>
      </c>
      <c r="C70" s="3"/>
      <c r="D70" s="29">
        <f>15429-1775</f>
        <v>13654</v>
      </c>
      <c r="E70" s="3"/>
      <c r="F70" s="3"/>
      <c r="G70" s="3"/>
      <c r="H70" s="3"/>
      <c r="I70" s="16"/>
      <c r="J70" s="1"/>
      <c r="K70" s="49"/>
      <c r="L70" s="52">
        <f>L71-1%</f>
        <v>7.93590861583061E-2</v>
      </c>
      <c r="M70" s="53">
        <v>120.69802498683694</v>
      </c>
      <c r="N70" s="54">
        <v>143.15069241968627</v>
      </c>
      <c r="O70" s="54">
        <v>182.15228627538249</v>
      </c>
      <c r="P70" s="54">
        <v>214.34324703423874</v>
      </c>
      <c r="Q70" s="53">
        <v>264.04886046920848</v>
      </c>
    </row>
    <row r="71" spans="1:18" x14ac:dyDescent="0.25">
      <c r="A71" s="1"/>
      <c r="B71" s="6" t="s">
        <v>36</v>
      </c>
      <c r="C71" s="6"/>
      <c r="D71" s="6"/>
      <c r="E71" s="6"/>
      <c r="F71" s="6"/>
      <c r="G71" s="30">
        <f>(G69+D69-D70)</f>
        <v>20541.630279937817</v>
      </c>
      <c r="H71" s="31">
        <f>(H69+D69-D70)</f>
        <v>21554.931669389545</v>
      </c>
      <c r="I71" s="16"/>
      <c r="J71"/>
      <c r="K71" s="48" t="s">
        <v>1</v>
      </c>
      <c r="L71" s="55">
        <v>8.9359086158306095E-2</v>
      </c>
      <c r="M71" s="53">
        <v>103.69478622401635</v>
      </c>
      <c r="N71" s="54">
        <v>120.07125940897195</v>
      </c>
      <c r="O71" s="56">
        <v>146.81641267466637</v>
      </c>
      <c r="P71" s="54">
        <v>167.47249459575303</v>
      </c>
      <c r="Q71" s="53">
        <v>197.02089283009687</v>
      </c>
    </row>
    <row r="72" spans="1:18" x14ac:dyDescent="0.25">
      <c r="A72" s="1"/>
      <c r="B72" s="3" t="s">
        <v>37</v>
      </c>
      <c r="C72" s="3"/>
      <c r="D72" s="34">
        <f>(137841180+5523452)/1000000</f>
        <v>143.364632</v>
      </c>
      <c r="E72" s="3"/>
      <c r="F72" s="3"/>
      <c r="G72" s="3"/>
      <c r="H72" s="3"/>
      <c r="I72" s="16"/>
      <c r="J72" s="1"/>
      <c r="K72" s="48"/>
      <c r="L72" s="57">
        <f>L71+1%</f>
        <v>9.935908615830609E-2</v>
      </c>
      <c r="M72" s="53">
        <v>89.827966091105083</v>
      </c>
      <c r="N72" s="54">
        <v>102.05695397733199</v>
      </c>
      <c r="O72" s="54">
        <v>121.05869478009814</v>
      </c>
      <c r="P72" s="54">
        <v>135.01710537619681</v>
      </c>
      <c r="Q72" s="53">
        <v>154.00431375025977</v>
      </c>
    </row>
    <row r="73" spans="1:18" x14ac:dyDescent="0.25">
      <c r="A73" s="1"/>
      <c r="B73" s="18" t="s">
        <v>38</v>
      </c>
      <c r="C73" s="18"/>
      <c r="D73" s="18">
        <f>D72*$J$5</f>
        <v>16046.803259760001</v>
      </c>
      <c r="E73" s="18"/>
      <c r="F73" s="18"/>
      <c r="G73" s="18"/>
      <c r="H73" s="32"/>
      <c r="I73" s="1"/>
      <c r="J73" s="1"/>
      <c r="K73" s="48"/>
      <c r="L73" s="57">
        <f>L72+1%</f>
        <v>0.10935908615830608</v>
      </c>
      <c r="M73" s="53">
        <v>78.318170675043234</v>
      </c>
      <c r="N73" s="53">
        <v>87.632155630671633</v>
      </c>
      <c r="O73" s="53">
        <v>101.52006401087829</v>
      </c>
      <c r="P73" s="53">
        <v>111.32214083868871</v>
      </c>
      <c r="Q73" s="53">
        <v>124.16954806774609</v>
      </c>
    </row>
    <row r="74" spans="1:18" x14ac:dyDescent="0.25">
      <c r="A74" s="1"/>
      <c r="B74" s="6" t="s">
        <v>39</v>
      </c>
      <c r="C74" s="6" t="s">
        <v>40</v>
      </c>
      <c r="D74" s="33">
        <f>(G74+H74)/2</f>
        <v>146.81641267466637</v>
      </c>
      <c r="F74" s="6"/>
      <c r="G74" s="33">
        <f>G71/D72</f>
        <v>143.28241208011343</v>
      </c>
      <c r="H74" s="33">
        <f>H71/D72</f>
        <v>150.35041326921933</v>
      </c>
      <c r="I74" s="16"/>
      <c r="J74" s="1"/>
    </row>
    <row r="75" spans="1:18" x14ac:dyDescent="0.25">
      <c r="A75"/>
      <c r="C75" s="1"/>
      <c r="D75" s="1"/>
    </row>
  </sheetData>
  <sortState xmlns:xlrd2="http://schemas.microsoft.com/office/spreadsheetml/2017/richdata2" columnSort="1" ref="C10:E63">
    <sortCondition ref="C10:E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A87D-E298-440E-907F-30185B027513}">
  <dimension ref="A1:L43"/>
  <sheetViews>
    <sheetView topLeftCell="A22" workbookViewId="0">
      <selection activeCell="A33" sqref="A33"/>
    </sheetView>
  </sheetViews>
  <sheetFormatPr defaultRowHeight="15" x14ac:dyDescent="0.25"/>
  <cols>
    <col min="1" max="1" width="40.85546875" customWidth="1"/>
    <col min="9" max="9" width="33.5703125" customWidth="1"/>
    <col min="10" max="12" width="13" customWidth="1"/>
  </cols>
  <sheetData>
    <row r="1" spans="1:12" x14ac:dyDescent="0.25">
      <c r="A1" s="100" t="s">
        <v>59</v>
      </c>
      <c r="B1" s="94" t="s">
        <v>60</v>
      </c>
      <c r="C1" s="93"/>
      <c r="D1" s="93"/>
      <c r="E1" s="93"/>
      <c r="F1" s="93"/>
      <c r="I1" s="100" t="s">
        <v>59</v>
      </c>
      <c r="J1" s="94" t="s">
        <v>60</v>
      </c>
      <c r="K1" s="93"/>
      <c r="L1" s="93"/>
    </row>
    <row r="2" spans="1:12" x14ac:dyDescent="0.25">
      <c r="A2" s="93"/>
      <c r="B2" s="93"/>
      <c r="C2" s="93"/>
      <c r="D2" s="93"/>
      <c r="E2" s="93"/>
      <c r="F2" s="93"/>
      <c r="I2" s="93"/>
      <c r="J2" s="93"/>
      <c r="K2" s="93"/>
      <c r="L2" s="93"/>
    </row>
    <row r="3" spans="1:12" x14ac:dyDescent="0.25">
      <c r="A3" s="94" t="s">
        <v>60</v>
      </c>
      <c r="B3" s="94" t="s">
        <v>60</v>
      </c>
      <c r="C3" s="94" t="s">
        <v>60</v>
      </c>
      <c r="D3" s="100" t="s">
        <v>61</v>
      </c>
      <c r="E3" s="94" t="s">
        <v>60</v>
      </c>
      <c r="F3" s="93"/>
      <c r="I3" s="94" t="s">
        <v>60</v>
      </c>
      <c r="J3" s="94" t="s">
        <v>60</v>
      </c>
      <c r="K3" s="94" t="s">
        <v>61</v>
      </c>
      <c r="L3" s="93"/>
    </row>
    <row r="4" spans="1:12" x14ac:dyDescent="0.25">
      <c r="A4" s="94" t="s">
        <v>60</v>
      </c>
      <c r="B4" s="94" t="s">
        <v>60</v>
      </c>
      <c r="C4" s="94">
        <v>2020</v>
      </c>
      <c r="D4" s="94">
        <v>2021</v>
      </c>
      <c r="E4" s="94">
        <v>2022</v>
      </c>
      <c r="F4" s="94" t="s">
        <v>60</v>
      </c>
      <c r="I4" s="94" t="s">
        <v>60</v>
      </c>
      <c r="J4" s="94">
        <v>2017</v>
      </c>
      <c r="K4" s="94">
        <v>2018</v>
      </c>
      <c r="L4" s="94">
        <v>2019</v>
      </c>
    </row>
    <row r="5" spans="1:12" x14ac:dyDescent="0.25">
      <c r="A5" s="94" t="s">
        <v>60</v>
      </c>
      <c r="B5" s="94" t="s">
        <v>60</v>
      </c>
      <c r="C5" s="93"/>
      <c r="D5" s="94" t="s">
        <v>60</v>
      </c>
      <c r="E5" s="100" t="s">
        <v>62</v>
      </c>
      <c r="F5" s="94" t="s">
        <v>60</v>
      </c>
      <c r="I5" s="94" t="s">
        <v>60</v>
      </c>
      <c r="J5" s="93"/>
      <c r="K5" s="94" t="s">
        <v>60</v>
      </c>
      <c r="L5" s="100" t="s">
        <v>62</v>
      </c>
    </row>
    <row r="6" spans="1:12" x14ac:dyDescent="0.25">
      <c r="A6" s="94" t="s">
        <v>7</v>
      </c>
      <c r="B6" s="94" t="s">
        <v>60</v>
      </c>
      <c r="C6" s="95">
        <v>5199</v>
      </c>
      <c r="D6" s="95">
        <v>8598</v>
      </c>
      <c r="E6" s="95">
        <v>11667</v>
      </c>
      <c r="F6" s="94" t="s">
        <v>60</v>
      </c>
      <c r="I6" s="94" t="s">
        <v>7</v>
      </c>
      <c r="J6" s="95">
        <v>10060</v>
      </c>
      <c r="K6" s="95">
        <v>11223</v>
      </c>
      <c r="L6" s="95">
        <v>12067</v>
      </c>
    </row>
    <row r="7" spans="1:12" x14ac:dyDescent="0.25">
      <c r="A7" s="94" t="s">
        <v>63</v>
      </c>
      <c r="B7" s="93"/>
      <c r="C7" s="93"/>
      <c r="D7" s="93"/>
      <c r="E7" s="93"/>
      <c r="F7" s="93"/>
      <c r="I7" s="94" t="s">
        <v>63</v>
      </c>
      <c r="J7" s="93"/>
      <c r="K7" s="93"/>
      <c r="L7" s="93"/>
    </row>
    <row r="8" spans="1:12" x14ac:dyDescent="0.25">
      <c r="A8" s="94" t="s">
        <v>64</v>
      </c>
      <c r="B8" s="94" t="s">
        <v>60</v>
      </c>
      <c r="C8" s="96">
        <v>1649</v>
      </c>
      <c r="D8" s="96">
        <v>1522</v>
      </c>
      <c r="E8" s="96">
        <v>1657</v>
      </c>
      <c r="F8" s="94" t="s">
        <v>60</v>
      </c>
      <c r="I8" s="94" t="s">
        <v>157</v>
      </c>
      <c r="J8" s="96">
        <v>1757</v>
      </c>
      <c r="K8" s="96">
        <v>1965</v>
      </c>
      <c r="L8" s="96">
        <v>2163</v>
      </c>
    </row>
    <row r="9" spans="1:12" x14ac:dyDescent="0.25">
      <c r="A9" s="94" t="s">
        <v>65</v>
      </c>
      <c r="B9" s="93"/>
      <c r="C9" s="93"/>
      <c r="D9" s="93"/>
      <c r="E9" s="93"/>
      <c r="F9" s="93"/>
      <c r="I9" s="94" t="s">
        <v>66</v>
      </c>
      <c r="J9" s="96">
        <v>5298</v>
      </c>
      <c r="K9" s="96">
        <v>5767</v>
      </c>
      <c r="L9" s="96">
        <v>6135</v>
      </c>
    </row>
    <row r="10" spans="1:12" x14ac:dyDescent="0.25">
      <c r="A10" s="94" t="s">
        <v>66</v>
      </c>
      <c r="B10" s="94" t="s">
        <v>60</v>
      </c>
      <c r="C10" s="96">
        <v>2527</v>
      </c>
      <c r="D10" s="96">
        <v>4221</v>
      </c>
      <c r="E10" s="96">
        <v>6100</v>
      </c>
      <c r="F10" s="94" t="s">
        <v>60</v>
      </c>
      <c r="I10" s="94" t="s">
        <v>67</v>
      </c>
      <c r="J10" s="96">
        <v>1387</v>
      </c>
      <c r="K10" s="96">
        <v>1617</v>
      </c>
      <c r="L10" s="96">
        <v>1763</v>
      </c>
    </row>
    <row r="11" spans="1:12" x14ac:dyDescent="0.25">
      <c r="A11" s="94" t="s">
        <v>67</v>
      </c>
      <c r="B11" s="94" t="s">
        <v>60</v>
      </c>
      <c r="C11" s="96">
        <v>1068</v>
      </c>
      <c r="D11" s="96">
        <v>1074</v>
      </c>
      <c r="E11" s="96">
        <v>1181</v>
      </c>
      <c r="F11" s="94" t="s">
        <v>60</v>
      </c>
      <c r="I11" s="94" t="s">
        <v>68</v>
      </c>
      <c r="J11" s="96">
        <v>676</v>
      </c>
      <c r="K11" s="96">
        <v>808</v>
      </c>
      <c r="L11" s="96">
        <v>847</v>
      </c>
    </row>
    <row r="12" spans="1:12" x14ac:dyDescent="0.25">
      <c r="A12" s="94" t="s">
        <v>68</v>
      </c>
      <c r="B12" s="94" t="s">
        <v>60</v>
      </c>
      <c r="C12" s="96">
        <v>589</v>
      </c>
      <c r="D12" s="96">
        <v>705</v>
      </c>
      <c r="E12" s="96">
        <v>748</v>
      </c>
      <c r="F12" s="94" t="s">
        <v>60</v>
      </c>
      <c r="I12" s="94" t="s">
        <v>105</v>
      </c>
      <c r="J12" s="96">
        <v>275</v>
      </c>
      <c r="K12" s="96">
        <v>283</v>
      </c>
      <c r="L12" s="96">
        <v>198</v>
      </c>
    </row>
    <row r="13" spans="1:12" x14ac:dyDescent="0.25">
      <c r="A13" s="94" t="s">
        <v>69</v>
      </c>
      <c r="B13" s="94" t="s">
        <v>60</v>
      </c>
      <c r="C13" s="96">
        <v>893</v>
      </c>
      <c r="D13" s="96">
        <v>814</v>
      </c>
      <c r="E13" s="96">
        <v>792</v>
      </c>
      <c r="F13" s="94" t="s">
        <v>60</v>
      </c>
      <c r="I13" s="94" t="s">
        <v>70</v>
      </c>
      <c r="J13" s="97">
        <v>0</v>
      </c>
      <c r="K13" s="96">
        <v>86</v>
      </c>
      <c r="L13" s="97">
        <v>0</v>
      </c>
    </row>
    <row r="14" spans="1:12" x14ac:dyDescent="0.25">
      <c r="A14" s="94" t="s">
        <v>70</v>
      </c>
      <c r="B14" s="94" t="s">
        <v>60</v>
      </c>
      <c r="C14" s="96">
        <v>799</v>
      </c>
      <c r="D14" s="96">
        <v>14</v>
      </c>
      <c r="E14" s="97">
        <v>0</v>
      </c>
      <c r="F14" s="94" t="s">
        <v>60</v>
      </c>
      <c r="I14" s="94" t="s">
        <v>158</v>
      </c>
      <c r="J14" s="97">
        <v>0</v>
      </c>
      <c r="K14" s="96">
        <v>42</v>
      </c>
      <c r="L14" s="97">
        <v>0</v>
      </c>
    </row>
    <row r="15" spans="1:12" x14ac:dyDescent="0.25">
      <c r="A15" s="94" t="s">
        <v>71</v>
      </c>
      <c r="B15" s="94" t="s">
        <v>60</v>
      </c>
      <c r="C15" s="96">
        <v>175</v>
      </c>
      <c r="D15" s="96">
        <v>6</v>
      </c>
      <c r="E15" s="96">
        <v>81</v>
      </c>
      <c r="F15" s="94" t="s">
        <v>60</v>
      </c>
      <c r="I15" s="94" t="s">
        <v>72</v>
      </c>
      <c r="J15" s="96">
        <v>25</v>
      </c>
      <c r="K15" s="96">
        <v>-59</v>
      </c>
      <c r="L15" s="96">
        <v>34</v>
      </c>
    </row>
    <row r="16" spans="1:12" x14ac:dyDescent="0.25">
      <c r="A16" s="94" t="s">
        <v>72</v>
      </c>
      <c r="B16" s="94" t="s">
        <v>60</v>
      </c>
      <c r="C16" s="96">
        <v>-13</v>
      </c>
      <c r="D16" s="96">
        <v>1</v>
      </c>
      <c r="E16" s="96">
        <v>23</v>
      </c>
      <c r="F16" s="94" t="s">
        <v>60</v>
      </c>
      <c r="I16" s="94" t="s">
        <v>159</v>
      </c>
      <c r="J16" s="93"/>
      <c r="K16" s="93"/>
      <c r="L16" s="93"/>
    </row>
    <row r="17" spans="1:12" x14ac:dyDescent="0.25">
      <c r="A17" s="94" t="s">
        <v>73</v>
      </c>
      <c r="B17" s="94" t="s">
        <v>60</v>
      </c>
      <c r="C17" s="96">
        <v>231</v>
      </c>
      <c r="D17" s="96">
        <v>55</v>
      </c>
      <c r="E17" s="97">
        <v>0</v>
      </c>
      <c r="F17" s="94" t="s">
        <v>60</v>
      </c>
      <c r="I17" s="94" t="s">
        <v>160</v>
      </c>
      <c r="J17" s="96">
        <v>17</v>
      </c>
      <c r="K17" s="97">
        <v>0</v>
      </c>
      <c r="L17" s="96">
        <v>24</v>
      </c>
    </row>
    <row r="18" spans="1:12" x14ac:dyDescent="0.25">
      <c r="A18" s="94" t="s">
        <v>74</v>
      </c>
      <c r="B18" s="94" t="s">
        <v>60</v>
      </c>
      <c r="C18" s="96">
        <v>-2719</v>
      </c>
      <c r="D18" s="96">
        <v>186</v>
      </c>
      <c r="E18" s="96">
        <v>1085</v>
      </c>
      <c r="F18" s="94" t="s">
        <v>60</v>
      </c>
      <c r="I18" s="94" t="s">
        <v>14</v>
      </c>
      <c r="J18" s="96">
        <v>625</v>
      </c>
      <c r="K18" s="96">
        <v>714</v>
      </c>
      <c r="L18" s="96">
        <v>903</v>
      </c>
    </row>
    <row r="19" spans="1:12" x14ac:dyDescent="0.25">
      <c r="A19" s="94" t="s">
        <v>75</v>
      </c>
      <c r="B19" s="93"/>
      <c r="C19" s="93"/>
      <c r="D19" s="93"/>
      <c r="E19" s="93"/>
      <c r="F19" s="93"/>
      <c r="I19" s="94" t="s">
        <v>75</v>
      </c>
      <c r="J19" s="93"/>
      <c r="K19" s="93"/>
      <c r="L19" s="93"/>
    </row>
    <row r="20" spans="1:12" x14ac:dyDescent="0.25">
      <c r="A20" s="94" t="s">
        <v>76</v>
      </c>
      <c r="B20" s="94" t="s">
        <v>60</v>
      </c>
      <c r="C20" s="96">
        <v>18</v>
      </c>
      <c r="D20" s="96">
        <v>9</v>
      </c>
      <c r="E20" s="96">
        <v>60</v>
      </c>
      <c r="F20" s="94" t="s">
        <v>60</v>
      </c>
      <c r="I20" s="94" t="s">
        <v>76</v>
      </c>
      <c r="J20" s="96">
        <v>34</v>
      </c>
      <c r="K20" s="96">
        <v>71</v>
      </c>
      <c r="L20" s="96">
        <v>59</v>
      </c>
    </row>
    <row r="21" spans="1:12" x14ac:dyDescent="0.25">
      <c r="A21" s="94" t="s">
        <v>77</v>
      </c>
      <c r="B21" s="94" t="s">
        <v>60</v>
      </c>
      <c r="C21" s="96">
        <v>-360</v>
      </c>
      <c r="D21" s="96">
        <v>-351</v>
      </c>
      <c r="E21" s="96">
        <v>-277</v>
      </c>
      <c r="F21" s="94" t="s">
        <v>60</v>
      </c>
      <c r="I21" s="94" t="s">
        <v>77</v>
      </c>
      <c r="J21" s="96">
        <v>-182</v>
      </c>
      <c r="K21" s="96">
        <v>-190</v>
      </c>
      <c r="L21" s="96">
        <v>-173</v>
      </c>
    </row>
    <row r="22" spans="1:12" x14ac:dyDescent="0.25">
      <c r="A22" s="94" t="s">
        <v>78</v>
      </c>
      <c r="B22" s="94" t="s">
        <v>60</v>
      </c>
      <c r="C22" s="97">
        <v>0</v>
      </c>
      <c r="D22" s="96">
        <v>-280</v>
      </c>
      <c r="E22" s="96">
        <v>49</v>
      </c>
      <c r="F22" s="94" t="s">
        <v>60</v>
      </c>
      <c r="I22" s="94" t="s">
        <v>80</v>
      </c>
      <c r="J22" s="96">
        <v>-60</v>
      </c>
      <c r="K22" s="96">
        <v>-110</v>
      </c>
      <c r="L22" s="96">
        <v>-14</v>
      </c>
    </row>
    <row r="23" spans="1:12" x14ac:dyDescent="0.25">
      <c r="A23" s="94" t="s">
        <v>79</v>
      </c>
      <c r="B23" s="94" t="s">
        <v>60</v>
      </c>
      <c r="C23" s="96">
        <v>-13</v>
      </c>
      <c r="D23" s="96">
        <v>456</v>
      </c>
      <c r="E23" s="96">
        <v>6</v>
      </c>
      <c r="F23" s="94" t="s">
        <v>60</v>
      </c>
      <c r="I23" s="94" t="s">
        <v>81</v>
      </c>
      <c r="J23" s="96">
        <v>-208</v>
      </c>
      <c r="K23" s="96">
        <v>-229</v>
      </c>
      <c r="L23" s="96">
        <v>-128</v>
      </c>
    </row>
    <row r="24" spans="1:12" x14ac:dyDescent="0.25">
      <c r="A24" s="94" t="s">
        <v>80</v>
      </c>
      <c r="B24" s="94" t="s">
        <v>60</v>
      </c>
      <c r="C24" s="96">
        <v>-77</v>
      </c>
      <c r="D24" s="96">
        <v>-58</v>
      </c>
      <c r="E24" s="96">
        <v>-385</v>
      </c>
      <c r="F24" s="94" t="s">
        <v>60</v>
      </c>
      <c r="I24" s="94" t="s">
        <v>161</v>
      </c>
      <c r="J24" s="96">
        <v>417</v>
      </c>
      <c r="K24" s="96">
        <v>485</v>
      </c>
      <c r="L24" s="96">
        <v>775</v>
      </c>
    </row>
    <row r="25" spans="1:12" x14ac:dyDescent="0.25">
      <c r="A25" s="94" t="s">
        <v>81</v>
      </c>
      <c r="B25" s="94" t="s">
        <v>60</v>
      </c>
      <c r="C25" s="96">
        <v>-432</v>
      </c>
      <c r="D25" s="96">
        <v>-224</v>
      </c>
      <c r="E25" s="96">
        <v>-547</v>
      </c>
      <c r="F25" s="94" t="s">
        <v>60</v>
      </c>
      <c r="I25" s="94" t="s">
        <v>83</v>
      </c>
      <c r="J25" s="96">
        <v>-45</v>
      </c>
      <c r="K25" s="96">
        <v>-87</v>
      </c>
      <c r="L25" s="96">
        <v>-203</v>
      </c>
    </row>
    <row r="26" spans="1:12" x14ac:dyDescent="0.25">
      <c r="A26" s="94" t="s">
        <v>82</v>
      </c>
      <c r="B26" s="94" t="s">
        <v>60</v>
      </c>
      <c r="C26" s="96">
        <v>-3151</v>
      </c>
      <c r="D26" s="96">
        <v>-38</v>
      </c>
      <c r="E26" s="96">
        <v>538</v>
      </c>
      <c r="F26" s="94" t="s">
        <v>60</v>
      </c>
      <c r="I26" s="94" t="s">
        <v>26</v>
      </c>
      <c r="J26" s="96">
        <v>372</v>
      </c>
      <c r="K26" s="96">
        <v>398</v>
      </c>
      <c r="L26" s="96">
        <v>572</v>
      </c>
    </row>
    <row r="27" spans="1:12" x14ac:dyDescent="0.25">
      <c r="A27" s="94" t="s">
        <v>83</v>
      </c>
      <c r="B27" s="94" t="s">
        <v>60</v>
      </c>
      <c r="C27" s="96">
        <v>423</v>
      </c>
      <c r="D27" s="96">
        <v>53</v>
      </c>
      <c r="E27" s="96">
        <v>-195</v>
      </c>
      <c r="F27" s="94" t="s">
        <v>60</v>
      </c>
      <c r="I27" s="94" t="s">
        <v>162</v>
      </c>
      <c r="J27" s="93"/>
      <c r="K27" s="93"/>
      <c r="L27" s="93"/>
    </row>
    <row r="28" spans="1:12" x14ac:dyDescent="0.25">
      <c r="A28" s="94" t="s">
        <v>84</v>
      </c>
      <c r="B28" s="94" t="s">
        <v>60</v>
      </c>
      <c r="C28" s="96">
        <v>-2728</v>
      </c>
      <c r="D28" s="96">
        <v>15</v>
      </c>
      <c r="E28" s="96">
        <v>343</v>
      </c>
      <c r="F28" s="94" t="s">
        <v>60</v>
      </c>
      <c r="I28" s="94" t="s">
        <v>163</v>
      </c>
      <c r="J28" s="96">
        <v>6</v>
      </c>
      <c r="K28" s="96">
        <v>8</v>
      </c>
      <c r="L28" s="96">
        <v>-7</v>
      </c>
    </row>
    <row r="29" spans="1:12" x14ac:dyDescent="0.25">
      <c r="A29" s="94" t="s">
        <v>85</v>
      </c>
      <c r="B29" s="94" t="s">
        <v>60</v>
      </c>
      <c r="C29" s="96">
        <v>116</v>
      </c>
      <c r="D29" s="96">
        <v>-3</v>
      </c>
      <c r="E29" s="96">
        <v>9</v>
      </c>
      <c r="F29" s="94" t="s">
        <v>60</v>
      </c>
      <c r="I29" s="94" t="s">
        <v>164</v>
      </c>
      <c r="J29" s="93"/>
      <c r="K29" s="93"/>
      <c r="L29" s="93"/>
    </row>
    <row r="30" spans="1:12" x14ac:dyDescent="0.25">
      <c r="A30" s="94" t="s">
        <v>86</v>
      </c>
      <c r="B30" s="93"/>
      <c r="C30" s="93"/>
      <c r="D30" s="93"/>
      <c r="E30" s="93"/>
      <c r="F30" s="93"/>
      <c r="I30" s="94" t="s">
        <v>165</v>
      </c>
      <c r="J30" s="95">
        <v>378</v>
      </c>
      <c r="K30" s="95">
        <v>406</v>
      </c>
      <c r="L30" s="95">
        <v>565</v>
      </c>
    </row>
    <row r="31" spans="1:12" x14ac:dyDescent="0.25">
      <c r="A31" s="94" t="s">
        <v>87</v>
      </c>
      <c r="B31" s="94" t="s">
        <v>60</v>
      </c>
      <c r="C31" s="96">
        <v>-2612</v>
      </c>
      <c r="D31" s="96">
        <v>12</v>
      </c>
      <c r="E31" s="96">
        <v>352</v>
      </c>
      <c r="F31" s="94" t="s">
        <v>60</v>
      </c>
      <c r="I31" s="94" t="s">
        <v>166</v>
      </c>
      <c r="J31" s="93"/>
      <c r="K31" s="93"/>
      <c r="L31" s="93"/>
    </row>
    <row r="32" spans="1:12" x14ac:dyDescent="0.25">
      <c r="A32" s="94" t="s">
        <v>88</v>
      </c>
      <c r="B32" s="94" t="s">
        <v>60</v>
      </c>
      <c r="C32" s="96">
        <v>-75</v>
      </c>
      <c r="D32" s="96">
        <v>-67</v>
      </c>
      <c r="E32" s="97">
        <v>0</v>
      </c>
      <c r="F32" s="94" t="s">
        <v>60</v>
      </c>
      <c r="I32" s="94" t="s">
        <v>167</v>
      </c>
      <c r="J32" s="93"/>
      <c r="K32" s="93"/>
      <c r="L32" s="93"/>
    </row>
    <row r="33" spans="1:12" x14ac:dyDescent="0.25">
      <c r="A33" s="94" t="s">
        <v>89</v>
      </c>
      <c r="B33" s="94" t="s">
        <v>60</v>
      </c>
      <c r="C33" s="97">
        <v>0</v>
      </c>
      <c r="D33" s="96">
        <v>-214</v>
      </c>
      <c r="E33" s="97">
        <v>0</v>
      </c>
      <c r="F33" s="94" t="s">
        <v>60</v>
      </c>
      <c r="I33" s="94" t="s">
        <v>168</v>
      </c>
      <c r="J33" s="93"/>
      <c r="K33" s="93"/>
      <c r="L33" s="93"/>
    </row>
    <row r="34" spans="1:12" x14ac:dyDescent="0.25">
      <c r="A34" s="94" t="s">
        <v>87</v>
      </c>
      <c r="B34" s="94" t="s">
        <v>60</v>
      </c>
      <c r="C34" s="95">
        <v>-2687</v>
      </c>
      <c r="D34" s="95">
        <v>-269</v>
      </c>
      <c r="E34" s="95">
        <v>352</v>
      </c>
      <c r="F34" s="94" t="s">
        <v>60</v>
      </c>
      <c r="I34" s="94" t="s">
        <v>93</v>
      </c>
      <c r="J34" s="98">
        <v>2.4900000000000002</v>
      </c>
      <c r="K34" s="98">
        <v>2.71</v>
      </c>
      <c r="L34" s="98">
        <v>3.84</v>
      </c>
    </row>
    <row r="35" spans="1:12" x14ac:dyDescent="0.25">
      <c r="A35" s="94" t="s">
        <v>90</v>
      </c>
      <c r="B35" s="93"/>
      <c r="C35" s="93"/>
      <c r="D35" s="93"/>
      <c r="E35" s="93"/>
      <c r="F35" s="93"/>
      <c r="I35" s="94" t="s">
        <v>94</v>
      </c>
      <c r="J35" s="99">
        <v>2.42</v>
      </c>
      <c r="K35" s="99">
        <v>2.65</v>
      </c>
      <c r="L35" s="99">
        <v>3.77</v>
      </c>
    </row>
    <row r="36" spans="1:12" x14ac:dyDescent="0.25">
      <c r="A36" s="94" t="s">
        <v>91</v>
      </c>
      <c r="B36" s="93"/>
      <c r="C36" s="93"/>
      <c r="D36" s="93"/>
      <c r="E36" s="93"/>
      <c r="F36" s="93"/>
      <c r="I36" s="94" t="s">
        <v>169</v>
      </c>
      <c r="J36" s="93"/>
      <c r="K36" s="93"/>
      <c r="L36" s="93"/>
    </row>
    <row r="37" spans="1:12" x14ac:dyDescent="0.25">
      <c r="A37" s="94" t="s">
        <v>92</v>
      </c>
      <c r="B37" s="93"/>
      <c r="C37" s="93"/>
      <c r="D37" s="93"/>
      <c r="E37" s="93"/>
      <c r="F37" s="93"/>
      <c r="I37" s="94" t="s">
        <v>170</v>
      </c>
      <c r="J37" s="93"/>
      <c r="K37" s="93"/>
      <c r="L37" s="93"/>
    </row>
    <row r="38" spans="1:12" x14ac:dyDescent="0.25">
      <c r="A38" s="94" t="s">
        <v>93</v>
      </c>
      <c r="B38" s="94" t="s">
        <v>60</v>
      </c>
      <c r="C38" s="98">
        <v>-19</v>
      </c>
      <c r="D38" s="98">
        <v>-1.8</v>
      </c>
      <c r="E38" s="98">
        <v>2.2400000000000002</v>
      </c>
      <c r="F38" s="94" t="s">
        <v>60</v>
      </c>
      <c r="I38" s="94" t="s">
        <v>93</v>
      </c>
      <c r="J38" s="96">
        <v>151619</v>
      </c>
      <c r="K38" s="96">
        <v>149961</v>
      </c>
      <c r="L38" s="96">
        <v>147194</v>
      </c>
    </row>
    <row r="39" spans="1:12" x14ac:dyDescent="0.25">
      <c r="A39" s="94" t="s">
        <v>94</v>
      </c>
      <c r="B39" s="94" t="s">
        <v>60</v>
      </c>
      <c r="C39" s="99">
        <v>-19</v>
      </c>
      <c r="D39" s="99">
        <v>-1.8</v>
      </c>
      <c r="E39" s="99">
        <v>2.17</v>
      </c>
      <c r="F39" s="94" t="s">
        <v>60</v>
      </c>
      <c r="I39" s="94" t="s">
        <v>94</v>
      </c>
      <c r="J39" s="96">
        <v>156385</v>
      </c>
      <c r="K39" s="96">
        <v>152889</v>
      </c>
      <c r="L39" s="96">
        <v>149884</v>
      </c>
    </row>
    <row r="40" spans="1:12" x14ac:dyDescent="0.25">
      <c r="A40" s="94" t="s">
        <v>95</v>
      </c>
      <c r="B40" s="93"/>
      <c r="C40" s="93"/>
      <c r="D40" s="93"/>
      <c r="E40" s="93"/>
      <c r="F40" s="93"/>
    </row>
    <row r="41" spans="1:12" x14ac:dyDescent="0.25">
      <c r="A41" s="94" t="s">
        <v>96</v>
      </c>
      <c r="B41" s="93"/>
      <c r="C41" s="93"/>
      <c r="D41" s="93"/>
      <c r="E41" s="93"/>
      <c r="F41" s="93"/>
    </row>
    <row r="42" spans="1:12" x14ac:dyDescent="0.25">
      <c r="A42" s="94" t="s">
        <v>93</v>
      </c>
      <c r="B42" s="94" t="s">
        <v>60</v>
      </c>
      <c r="C42" s="96">
        <v>141414</v>
      </c>
      <c r="D42" s="96">
        <v>149734</v>
      </c>
      <c r="E42" s="96">
        <v>156672</v>
      </c>
      <c r="F42" s="94" t="s">
        <v>60</v>
      </c>
    </row>
    <row r="43" spans="1:12" x14ac:dyDescent="0.25">
      <c r="A43" s="94" t="s">
        <v>94</v>
      </c>
      <c r="B43" s="94" t="s">
        <v>60</v>
      </c>
      <c r="C43" s="96">
        <v>141414</v>
      </c>
      <c r="D43" s="96">
        <v>149734</v>
      </c>
      <c r="E43" s="96">
        <v>161751</v>
      </c>
      <c r="F43" s="94" t="s">
        <v>60</v>
      </c>
    </row>
  </sheetData>
  <sortState xmlns:xlrd2="http://schemas.microsoft.com/office/spreadsheetml/2017/richdata2" columnSort="1" ref="J4:L39">
    <sortCondition ref="J4:L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6841-7B77-4173-9650-D605C598115F}">
  <dimension ref="A1:J65"/>
  <sheetViews>
    <sheetView topLeftCell="A18" workbookViewId="0">
      <selection activeCell="B35" sqref="B35"/>
    </sheetView>
  </sheetViews>
  <sheetFormatPr defaultRowHeight="15" x14ac:dyDescent="0.25"/>
  <cols>
    <col min="1" max="1" width="39.85546875" customWidth="1"/>
    <col min="2" max="4" width="15.7109375" customWidth="1"/>
    <col min="7" max="7" width="66.140625" customWidth="1"/>
    <col min="8" max="10" width="12" customWidth="1"/>
  </cols>
  <sheetData>
    <row r="1" spans="1:10" x14ac:dyDescent="0.25">
      <c r="A1" s="94" t="s">
        <v>97</v>
      </c>
      <c r="B1" s="93"/>
      <c r="C1" s="93"/>
      <c r="D1" s="93"/>
      <c r="G1" s="94" t="s">
        <v>97</v>
      </c>
      <c r="H1" s="93"/>
      <c r="I1" s="93"/>
      <c r="J1" s="93"/>
    </row>
    <row r="2" spans="1:10" x14ac:dyDescent="0.25">
      <c r="A2" s="94" t="s">
        <v>60</v>
      </c>
      <c r="B2" s="94" t="s">
        <v>60</v>
      </c>
      <c r="C2" s="94" t="s">
        <v>61</v>
      </c>
      <c r="D2" s="93"/>
      <c r="G2" s="94" t="s">
        <v>60</v>
      </c>
      <c r="H2" s="94" t="s">
        <v>60</v>
      </c>
      <c r="I2" s="94" t="s">
        <v>171</v>
      </c>
      <c r="J2" s="93"/>
    </row>
    <row r="3" spans="1:10" x14ac:dyDescent="0.25">
      <c r="A3" s="94" t="s">
        <v>60</v>
      </c>
      <c r="B3" s="94">
        <v>2020</v>
      </c>
      <c r="C3" s="94">
        <v>2021</v>
      </c>
      <c r="D3" s="94">
        <v>2022</v>
      </c>
      <c r="G3" s="94" t="s">
        <v>60</v>
      </c>
      <c r="H3" s="94">
        <v>2017</v>
      </c>
      <c r="I3" s="94">
        <v>2018</v>
      </c>
      <c r="J3" s="94">
        <v>2019</v>
      </c>
    </row>
    <row r="4" spans="1:10" x14ac:dyDescent="0.25">
      <c r="A4" s="94" t="s">
        <v>60</v>
      </c>
      <c r="B4" s="93"/>
      <c r="C4" s="94" t="s">
        <v>98</v>
      </c>
      <c r="D4" s="94" t="s">
        <v>60</v>
      </c>
      <c r="G4" s="94" t="s">
        <v>60</v>
      </c>
      <c r="H4" s="93"/>
      <c r="I4" s="94" t="s">
        <v>98</v>
      </c>
      <c r="J4" s="94" t="s">
        <v>60</v>
      </c>
    </row>
    <row r="5" spans="1:10" x14ac:dyDescent="0.25">
      <c r="A5" s="94" t="s">
        <v>99</v>
      </c>
      <c r="B5" s="93"/>
      <c r="C5" s="93"/>
      <c r="D5" s="93"/>
      <c r="G5" s="94" t="s">
        <v>99</v>
      </c>
      <c r="H5" s="93"/>
      <c r="I5" s="93"/>
      <c r="J5" s="93"/>
    </row>
    <row r="6" spans="1:10" x14ac:dyDescent="0.25">
      <c r="A6" s="94" t="s">
        <v>84</v>
      </c>
      <c r="B6" s="95">
        <v>-2728</v>
      </c>
      <c r="C6" s="95">
        <v>15</v>
      </c>
      <c r="D6" s="95">
        <v>343</v>
      </c>
      <c r="G6" s="94" t="s">
        <v>26</v>
      </c>
      <c r="H6" s="95">
        <v>372</v>
      </c>
      <c r="I6" s="95">
        <v>398</v>
      </c>
      <c r="J6" s="95">
        <v>572</v>
      </c>
    </row>
    <row r="7" spans="1:10" x14ac:dyDescent="0.25">
      <c r="A7" s="94" t="s">
        <v>100</v>
      </c>
      <c r="B7" s="93"/>
      <c r="C7" s="93"/>
      <c r="D7" s="93"/>
      <c r="G7" s="94" t="s">
        <v>172</v>
      </c>
      <c r="H7" s="93"/>
      <c r="I7" s="93"/>
      <c r="J7" s="93"/>
    </row>
    <row r="8" spans="1:10" x14ac:dyDescent="0.25">
      <c r="A8" s="94" t="s">
        <v>101</v>
      </c>
      <c r="B8" s="93"/>
      <c r="C8" s="93"/>
      <c r="D8" s="93"/>
      <c r="G8" s="94" t="s">
        <v>173</v>
      </c>
      <c r="H8" s="93"/>
      <c r="I8" s="93"/>
      <c r="J8" s="93"/>
    </row>
    <row r="9" spans="1:10" x14ac:dyDescent="0.25">
      <c r="A9" s="94" t="s">
        <v>102</v>
      </c>
      <c r="B9" s="96">
        <v>739</v>
      </c>
      <c r="C9" s="96">
        <v>715</v>
      </c>
      <c r="D9" s="96">
        <v>704</v>
      </c>
      <c r="G9" s="94" t="s">
        <v>174</v>
      </c>
      <c r="H9" s="93"/>
      <c r="I9" s="93"/>
      <c r="J9" s="93"/>
    </row>
    <row r="10" spans="1:10" x14ac:dyDescent="0.25">
      <c r="A10" s="94" t="s">
        <v>103</v>
      </c>
      <c r="B10" s="93"/>
      <c r="C10" s="93"/>
      <c r="D10" s="93"/>
      <c r="G10" s="94" t="s">
        <v>175</v>
      </c>
      <c r="H10" s="96">
        <v>614</v>
      </c>
      <c r="I10" s="96">
        <v>676</v>
      </c>
      <c r="J10" s="96">
        <v>712</v>
      </c>
    </row>
    <row r="11" spans="1:10" x14ac:dyDescent="0.25">
      <c r="A11" s="94" t="s">
        <v>104</v>
      </c>
      <c r="B11" s="96">
        <v>205</v>
      </c>
      <c r="C11" s="96">
        <v>418</v>
      </c>
      <c r="D11" s="96">
        <v>374</v>
      </c>
      <c r="G11" s="94" t="s">
        <v>104</v>
      </c>
      <c r="H11" s="96">
        <v>149</v>
      </c>
      <c r="I11" s="96">
        <v>203</v>
      </c>
      <c r="J11" s="96">
        <v>241</v>
      </c>
    </row>
    <row r="12" spans="1:10" x14ac:dyDescent="0.25">
      <c r="A12" s="94" t="s">
        <v>105</v>
      </c>
      <c r="B12" s="96">
        <v>154</v>
      </c>
      <c r="C12" s="96">
        <v>99</v>
      </c>
      <c r="D12" s="96">
        <v>88</v>
      </c>
      <c r="G12" s="94" t="s">
        <v>176</v>
      </c>
      <c r="H12" s="96">
        <v>275</v>
      </c>
      <c r="I12" s="96">
        <v>325</v>
      </c>
      <c r="J12" s="96">
        <v>198</v>
      </c>
    </row>
    <row r="13" spans="1:10" x14ac:dyDescent="0.25">
      <c r="A13" s="94" t="s">
        <v>106</v>
      </c>
      <c r="B13" s="96">
        <v>974</v>
      </c>
      <c r="C13" s="96">
        <v>20</v>
      </c>
      <c r="D13" s="96">
        <v>81</v>
      </c>
      <c r="G13" s="94" t="s">
        <v>70</v>
      </c>
      <c r="H13" s="97">
        <v>0</v>
      </c>
      <c r="I13" s="96">
        <v>86</v>
      </c>
      <c r="J13" s="97">
        <v>0</v>
      </c>
    </row>
    <row r="14" spans="1:10" x14ac:dyDescent="0.25">
      <c r="A14" s="94" t="s">
        <v>107</v>
      </c>
      <c r="B14" s="96">
        <v>-488</v>
      </c>
      <c r="C14" s="96">
        <v>-145</v>
      </c>
      <c r="D14" s="96">
        <v>70</v>
      </c>
      <c r="G14" s="94" t="s">
        <v>107</v>
      </c>
      <c r="H14" s="96">
        <v>-103</v>
      </c>
      <c r="I14" s="96">
        <v>-308</v>
      </c>
      <c r="J14" s="96">
        <v>-91</v>
      </c>
    </row>
    <row r="15" spans="1:10" x14ac:dyDescent="0.25">
      <c r="A15" s="94" t="s">
        <v>108</v>
      </c>
      <c r="B15" s="96">
        <v>2</v>
      </c>
      <c r="C15" s="96">
        <v>105</v>
      </c>
      <c r="D15" s="96">
        <v>128</v>
      </c>
      <c r="G15" s="94" t="s">
        <v>177</v>
      </c>
      <c r="H15" s="93"/>
      <c r="I15" s="93"/>
      <c r="J15" s="93"/>
    </row>
    <row r="16" spans="1:10" x14ac:dyDescent="0.25">
      <c r="A16" s="94" t="s">
        <v>109</v>
      </c>
      <c r="B16" s="93"/>
      <c r="C16" s="93"/>
      <c r="D16" s="93"/>
      <c r="G16" s="94" t="s">
        <v>178</v>
      </c>
      <c r="H16" s="96">
        <v>-79</v>
      </c>
      <c r="I16" s="96">
        <v>111</v>
      </c>
      <c r="J16" s="96">
        <v>-5</v>
      </c>
    </row>
    <row r="17" spans="1:10" x14ac:dyDescent="0.25">
      <c r="A17" s="94" t="s">
        <v>110</v>
      </c>
      <c r="B17" s="96">
        <v>-80</v>
      </c>
      <c r="C17" s="96">
        <v>16</v>
      </c>
      <c r="D17" s="96">
        <v>78</v>
      </c>
      <c r="G17" s="94" t="s">
        <v>179</v>
      </c>
      <c r="H17" s="96">
        <v>-6</v>
      </c>
      <c r="I17" s="96">
        <v>-31</v>
      </c>
      <c r="J17" s="96">
        <v>-22</v>
      </c>
    </row>
    <row r="18" spans="1:10" x14ac:dyDescent="0.25">
      <c r="A18" s="94" t="s">
        <v>111</v>
      </c>
      <c r="B18" s="96">
        <v>142</v>
      </c>
      <c r="C18" s="96">
        <v>29</v>
      </c>
      <c r="D18" s="96">
        <v>345</v>
      </c>
      <c r="G18" s="94" t="s">
        <v>180</v>
      </c>
      <c r="H18" s="96">
        <v>14</v>
      </c>
      <c r="I18" s="96">
        <v>111</v>
      </c>
      <c r="J18" s="96">
        <v>-8</v>
      </c>
    </row>
    <row r="19" spans="1:10" x14ac:dyDescent="0.25">
      <c r="A19" s="94" t="s">
        <v>112</v>
      </c>
      <c r="B19" s="97">
        <v>0</v>
      </c>
      <c r="C19" s="96">
        <v>280</v>
      </c>
      <c r="D19" s="96">
        <v>-49</v>
      </c>
      <c r="G19" s="94" t="s">
        <v>57</v>
      </c>
      <c r="H19" s="96">
        <v>-30</v>
      </c>
      <c r="I19" s="96">
        <v>22</v>
      </c>
      <c r="J19" s="96">
        <v>-21</v>
      </c>
    </row>
    <row r="20" spans="1:10" x14ac:dyDescent="0.25">
      <c r="A20" s="94" t="s">
        <v>113</v>
      </c>
      <c r="B20" s="96">
        <v>13</v>
      </c>
      <c r="C20" s="96">
        <v>-456</v>
      </c>
      <c r="D20" s="96">
        <v>-6</v>
      </c>
      <c r="G20" s="94" t="s">
        <v>181</v>
      </c>
      <c r="H20" s="93"/>
      <c r="I20" s="93"/>
      <c r="J20" s="93"/>
    </row>
    <row r="21" spans="1:10" x14ac:dyDescent="0.25">
      <c r="A21" s="94" t="s">
        <v>114</v>
      </c>
      <c r="B21" s="96">
        <v>135</v>
      </c>
      <c r="C21" s="96">
        <v>32</v>
      </c>
      <c r="D21" s="96">
        <v>23</v>
      </c>
      <c r="G21" s="94" t="s">
        <v>182</v>
      </c>
      <c r="H21" s="93"/>
      <c r="I21" s="93"/>
      <c r="J21" s="93"/>
    </row>
    <row r="22" spans="1:10" x14ac:dyDescent="0.25">
      <c r="A22" s="94" t="s">
        <v>115</v>
      </c>
      <c r="B22" s="93"/>
      <c r="C22" s="93"/>
      <c r="D22" s="93"/>
      <c r="G22" s="94" t="s">
        <v>117</v>
      </c>
      <c r="H22" s="96">
        <v>-456</v>
      </c>
      <c r="I22" s="96">
        <v>-282</v>
      </c>
      <c r="J22" s="96">
        <v>-368</v>
      </c>
    </row>
    <row r="23" spans="1:10" x14ac:dyDescent="0.25">
      <c r="A23" s="94" t="s">
        <v>116</v>
      </c>
      <c r="B23" s="93"/>
      <c r="C23" s="93"/>
      <c r="D23" s="93"/>
      <c r="G23" s="94" t="s">
        <v>118</v>
      </c>
      <c r="H23" s="96">
        <v>-71</v>
      </c>
      <c r="I23" s="96">
        <v>-29</v>
      </c>
      <c r="J23" s="96">
        <v>-193</v>
      </c>
    </row>
    <row r="24" spans="1:10" x14ac:dyDescent="0.25">
      <c r="A24" s="94" t="s">
        <v>117</v>
      </c>
      <c r="B24" s="96">
        <v>1781</v>
      </c>
      <c r="C24" s="96">
        <v>-721</v>
      </c>
      <c r="D24" s="96">
        <v>-838</v>
      </c>
      <c r="G24" s="94" t="s">
        <v>119</v>
      </c>
      <c r="H24" s="96">
        <v>316</v>
      </c>
      <c r="I24" s="96">
        <v>-134</v>
      </c>
      <c r="J24" s="96">
        <v>224</v>
      </c>
    </row>
    <row r="25" spans="1:10" x14ac:dyDescent="0.25">
      <c r="A25" s="94" t="s">
        <v>118</v>
      </c>
      <c r="B25" s="96">
        <v>-188</v>
      </c>
      <c r="C25" s="96">
        <v>-224</v>
      </c>
      <c r="D25" s="96">
        <v>55</v>
      </c>
      <c r="G25" s="94" t="s">
        <v>183</v>
      </c>
      <c r="H25" s="93"/>
      <c r="I25" s="93"/>
      <c r="J25" s="93"/>
    </row>
    <row r="26" spans="1:10" x14ac:dyDescent="0.25">
      <c r="A26" s="94" t="s">
        <v>119</v>
      </c>
      <c r="B26" s="96">
        <v>-1320</v>
      </c>
      <c r="C26" s="96">
        <v>777</v>
      </c>
      <c r="D26" s="96">
        <v>375</v>
      </c>
      <c r="G26" s="94" t="s">
        <v>184</v>
      </c>
      <c r="H26" s="96">
        <v>257</v>
      </c>
      <c r="I26" s="96">
        <v>196</v>
      </c>
      <c r="J26" s="96">
        <v>254</v>
      </c>
    </row>
    <row r="27" spans="1:10" x14ac:dyDescent="0.25">
      <c r="A27" s="94" t="s">
        <v>120</v>
      </c>
      <c r="B27" s="96">
        <v>-400</v>
      </c>
      <c r="C27" s="96">
        <v>138</v>
      </c>
      <c r="D27" s="96">
        <v>196</v>
      </c>
      <c r="G27" s="94" t="s">
        <v>121</v>
      </c>
      <c r="H27" s="96">
        <v>-30</v>
      </c>
      <c r="I27" s="96">
        <v>102</v>
      </c>
      <c r="J27" s="96">
        <v>-23</v>
      </c>
    </row>
    <row r="28" spans="1:10" x14ac:dyDescent="0.25">
      <c r="A28" s="94" t="s">
        <v>121</v>
      </c>
      <c r="B28" s="96">
        <v>-57</v>
      </c>
      <c r="C28" s="96">
        <v>10</v>
      </c>
      <c r="D28" s="96">
        <v>11</v>
      </c>
      <c r="G28" s="94" t="s">
        <v>122</v>
      </c>
      <c r="H28" s="96">
        <v>593</v>
      </c>
      <c r="I28" s="96">
        <v>489</v>
      </c>
      <c r="J28" s="96">
        <v>1342</v>
      </c>
    </row>
    <row r="29" spans="1:10" x14ac:dyDescent="0.25">
      <c r="A29" s="94" t="s">
        <v>122</v>
      </c>
      <c r="B29" s="96">
        <v>-2576</v>
      </c>
      <c r="C29" s="96">
        <v>2642</v>
      </c>
      <c r="D29" s="96">
        <v>1464</v>
      </c>
      <c r="G29" s="94" t="s">
        <v>123</v>
      </c>
      <c r="H29" s="96">
        <v>30</v>
      </c>
      <c r="I29" s="96">
        <v>40</v>
      </c>
      <c r="J29" s="96">
        <v>-45</v>
      </c>
    </row>
    <row r="30" spans="1:10" x14ac:dyDescent="0.25">
      <c r="A30" s="94" t="s">
        <v>123</v>
      </c>
      <c r="B30" s="96">
        <v>-142</v>
      </c>
      <c r="C30" s="96">
        <v>-2</v>
      </c>
      <c r="D30" s="96">
        <v>-2</v>
      </c>
      <c r="G30" s="94" t="s">
        <v>185</v>
      </c>
      <c r="H30" s="96">
        <v>1845</v>
      </c>
      <c r="I30" s="96">
        <v>1975</v>
      </c>
      <c r="J30" s="96">
        <v>2767</v>
      </c>
    </row>
    <row r="31" spans="1:10" x14ac:dyDescent="0.25">
      <c r="A31" s="94" t="s">
        <v>124</v>
      </c>
      <c r="B31" s="96">
        <v>-3834</v>
      </c>
      <c r="C31" s="96">
        <v>3748</v>
      </c>
      <c r="D31" s="96">
        <v>3440</v>
      </c>
      <c r="G31" s="94" t="s">
        <v>125</v>
      </c>
      <c r="H31" s="93"/>
      <c r="I31" s="93"/>
      <c r="J31" s="93"/>
    </row>
    <row r="32" spans="1:10" x14ac:dyDescent="0.25">
      <c r="A32" s="94" t="s">
        <v>125</v>
      </c>
      <c r="B32" s="93"/>
      <c r="C32" s="93"/>
      <c r="D32" s="93"/>
      <c r="G32" s="94" t="s">
        <v>186</v>
      </c>
      <c r="H32" s="93"/>
      <c r="I32" s="93"/>
      <c r="J32" s="93"/>
    </row>
    <row r="33" spans="1:10" x14ac:dyDescent="0.25">
      <c r="A33" s="94" t="s">
        <v>126</v>
      </c>
      <c r="B33" s="96">
        <v>-797</v>
      </c>
      <c r="C33" s="96">
        <v>-673</v>
      </c>
      <c r="D33" s="96">
        <v>-662</v>
      </c>
      <c r="G33" s="94" t="s">
        <v>187</v>
      </c>
      <c r="H33" s="96">
        <v>-710</v>
      </c>
      <c r="I33" s="96">
        <v>-878</v>
      </c>
      <c r="J33" s="96">
        <v>-1160</v>
      </c>
    </row>
    <row r="34" spans="1:10" x14ac:dyDescent="0.25">
      <c r="A34" s="94" t="s">
        <v>127</v>
      </c>
      <c r="B34" s="93"/>
      <c r="C34" s="93"/>
      <c r="D34" s="93"/>
      <c r="G34" s="94" t="s">
        <v>128</v>
      </c>
      <c r="H34" s="96">
        <v>-1811</v>
      </c>
      <c r="I34" s="96">
        <v>-1803</v>
      </c>
      <c r="J34" s="96">
        <v>-1346</v>
      </c>
    </row>
    <row r="35" spans="1:10" x14ac:dyDescent="0.25">
      <c r="A35" s="94" t="s">
        <v>128</v>
      </c>
      <c r="B35" s="96">
        <v>-685</v>
      </c>
      <c r="C35" s="96">
        <v>-201</v>
      </c>
      <c r="D35" s="96">
        <v>-60</v>
      </c>
      <c r="G35" s="94" t="s">
        <v>129</v>
      </c>
      <c r="H35" s="96">
        <v>1096</v>
      </c>
      <c r="I35" s="96">
        <v>2137</v>
      </c>
      <c r="J35" s="96">
        <v>852</v>
      </c>
    </row>
    <row r="36" spans="1:10" x14ac:dyDescent="0.25">
      <c r="A36" s="94" t="s">
        <v>129</v>
      </c>
      <c r="B36" s="96">
        <v>1161</v>
      </c>
      <c r="C36" s="96">
        <v>23</v>
      </c>
      <c r="D36" s="96">
        <v>205</v>
      </c>
      <c r="G36" s="94" t="s">
        <v>188</v>
      </c>
      <c r="H36" s="96">
        <v>-169</v>
      </c>
      <c r="I36" s="96">
        <v>-53</v>
      </c>
      <c r="J36" s="96">
        <v>80</v>
      </c>
    </row>
    <row r="37" spans="1:10" x14ac:dyDescent="0.25">
      <c r="A37" s="94" t="s">
        <v>130</v>
      </c>
      <c r="B37" s="96">
        <v>-21</v>
      </c>
      <c r="C37" s="96">
        <v>-60</v>
      </c>
      <c r="D37" s="96">
        <v>4</v>
      </c>
      <c r="G37" s="94" t="s">
        <v>80</v>
      </c>
      <c r="H37" s="96">
        <v>13</v>
      </c>
      <c r="I37" s="96">
        <v>38</v>
      </c>
      <c r="J37" s="96">
        <v>21</v>
      </c>
    </row>
    <row r="38" spans="1:10" x14ac:dyDescent="0.25">
      <c r="A38" s="94" t="s">
        <v>131</v>
      </c>
      <c r="B38" s="97">
        <v>0</v>
      </c>
      <c r="C38" s="97">
        <v>0</v>
      </c>
      <c r="D38" s="96">
        <v>337</v>
      </c>
      <c r="G38" s="94" t="s">
        <v>133</v>
      </c>
      <c r="H38" s="96">
        <v>-1581</v>
      </c>
      <c r="I38" s="96">
        <v>-559</v>
      </c>
      <c r="J38" s="96">
        <v>-1553</v>
      </c>
    </row>
    <row r="39" spans="1:10" x14ac:dyDescent="0.25">
      <c r="A39" s="94" t="s">
        <v>132</v>
      </c>
      <c r="B39" s="97">
        <v>0</v>
      </c>
      <c r="C39" s="97">
        <v>0</v>
      </c>
      <c r="D39" s="96">
        <v>-337</v>
      </c>
      <c r="G39" s="94" t="s">
        <v>134</v>
      </c>
      <c r="H39" s="93"/>
      <c r="I39" s="93"/>
      <c r="J39" s="93"/>
    </row>
    <row r="40" spans="1:10" x14ac:dyDescent="0.25">
      <c r="A40" s="94" t="s">
        <v>80</v>
      </c>
      <c r="B40" s="96">
        <v>79</v>
      </c>
      <c r="C40" s="96">
        <v>-20</v>
      </c>
      <c r="D40" s="96">
        <v>-67</v>
      </c>
      <c r="G40" s="94" t="s">
        <v>189</v>
      </c>
      <c r="H40" s="93"/>
      <c r="I40" s="93"/>
      <c r="J40" s="93"/>
    </row>
    <row r="41" spans="1:10" x14ac:dyDescent="0.25">
      <c r="A41" s="94" t="s">
        <v>133</v>
      </c>
      <c r="B41" s="96">
        <v>-263</v>
      </c>
      <c r="C41" s="96">
        <v>-931</v>
      </c>
      <c r="D41" s="96">
        <v>-580</v>
      </c>
      <c r="G41" s="94" t="s">
        <v>190</v>
      </c>
      <c r="H41" s="96">
        <v>990</v>
      </c>
      <c r="I41" s="97">
        <v>0</v>
      </c>
      <c r="J41" s="96">
        <v>1231</v>
      </c>
    </row>
    <row r="42" spans="1:10" x14ac:dyDescent="0.25">
      <c r="A42" s="94" t="s">
        <v>134</v>
      </c>
      <c r="B42" s="93"/>
      <c r="C42" s="93"/>
      <c r="D42" s="93"/>
      <c r="G42" s="94" t="s">
        <v>138</v>
      </c>
      <c r="H42" s="97">
        <v>0</v>
      </c>
      <c r="I42" s="96">
        <v>-500</v>
      </c>
      <c r="J42" s="97">
        <v>0</v>
      </c>
    </row>
    <row r="43" spans="1:10" x14ac:dyDescent="0.25">
      <c r="A43" s="94" t="s">
        <v>135</v>
      </c>
      <c r="B43" s="96">
        <v>2672</v>
      </c>
      <c r="C43" s="97">
        <v>0</v>
      </c>
      <c r="D43" s="97">
        <v>0</v>
      </c>
      <c r="G43" s="94" t="s">
        <v>191</v>
      </c>
      <c r="H43" s="97">
        <v>0</v>
      </c>
      <c r="I43" s="97">
        <v>0</v>
      </c>
      <c r="J43" s="96">
        <v>-400</v>
      </c>
    </row>
    <row r="44" spans="1:10" x14ac:dyDescent="0.25">
      <c r="A44" s="94" t="s">
        <v>136</v>
      </c>
      <c r="B44" s="96">
        <v>-2672</v>
      </c>
      <c r="C44" s="97">
        <v>0</v>
      </c>
      <c r="D44" s="97">
        <v>0</v>
      </c>
      <c r="G44" s="94" t="s">
        <v>142</v>
      </c>
      <c r="H44" s="96">
        <v>-312</v>
      </c>
      <c r="I44" s="96">
        <v>-923</v>
      </c>
      <c r="J44" s="96">
        <v>-743</v>
      </c>
    </row>
    <row r="45" spans="1:10" x14ac:dyDescent="0.25">
      <c r="A45" s="94" t="s">
        <v>137</v>
      </c>
      <c r="B45" s="96">
        <v>3945</v>
      </c>
      <c r="C45" s="96">
        <v>1964</v>
      </c>
      <c r="D45" s="97">
        <v>0</v>
      </c>
      <c r="G45" s="94" t="s">
        <v>192</v>
      </c>
      <c r="H45" s="97">
        <v>0</v>
      </c>
      <c r="I45" s="96">
        <v>31</v>
      </c>
      <c r="J45" s="97">
        <v>0</v>
      </c>
    </row>
    <row r="46" spans="1:10" x14ac:dyDescent="0.25">
      <c r="A46" s="94" t="s">
        <v>138</v>
      </c>
      <c r="B46" s="96">
        <v>-750</v>
      </c>
      <c r="C46" s="96">
        <v>-1706</v>
      </c>
      <c r="D46" s="96">
        <v>-2141</v>
      </c>
      <c r="G46" s="94" t="s">
        <v>193</v>
      </c>
      <c r="H46" s="96">
        <v>-176</v>
      </c>
      <c r="I46" s="96">
        <v>-186</v>
      </c>
      <c r="J46" s="96">
        <v>-195</v>
      </c>
    </row>
    <row r="47" spans="1:10" x14ac:dyDescent="0.25">
      <c r="A47" s="94" t="s">
        <v>139</v>
      </c>
      <c r="B47" s="97">
        <v>0</v>
      </c>
      <c r="C47" s="96">
        <v>-258</v>
      </c>
      <c r="D47" s="96">
        <v>-22</v>
      </c>
      <c r="G47" s="94" t="s">
        <v>194</v>
      </c>
      <c r="H47" s="93"/>
      <c r="I47" s="93"/>
      <c r="J47" s="93"/>
    </row>
    <row r="48" spans="1:10" x14ac:dyDescent="0.25">
      <c r="A48" s="94" t="s">
        <v>140</v>
      </c>
      <c r="B48" s="96">
        <v>1132</v>
      </c>
      <c r="C48" s="97">
        <v>0</v>
      </c>
      <c r="D48" s="97">
        <v>0</v>
      </c>
      <c r="G48" s="94" t="s">
        <v>195</v>
      </c>
      <c r="H48" s="96">
        <v>229</v>
      </c>
      <c r="I48" s="96">
        <v>166</v>
      </c>
      <c r="J48" s="96">
        <v>301</v>
      </c>
    </row>
    <row r="49" spans="1:10" x14ac:dyDescent="0.25">
      <c r="A49" s="94" t="s">
        <v>141</v>
      </c>
      <c r="B49" s="97">
        <v>0</v>
      </c>
      <c r="C49" s="96">
        <v>-1236</v>
      </c>
      <c r="D49" s="97">
        <v>0</v>
      </c>
      <c r="G49" s="94" t="s">
        <v>196</v>
      </c>
      <c r="H49" s="96">
        <v>-18</v>
      </c>
      <c r="I49" s="96">
        <v>-62</v>
      </c>
      <c r="J49" s="96">
        <v>-28</v>
      </c>
    </row>
    <row r="50" spans="1:10" x14ac:dyDescent="0.25">
      <c r="A50" s="94" t="s">
        <v>142</v>
      </c>
      <c r="B50" s="96">
        <v>-425</v>
      </c>
      <c r="C50" s="96">
        <v>-165</v>
      </c>
      <c r="D50" s="96">
        <v>-607</v>
      </c>
      <c r="G50" s="94" t="s">
        <v>80</v>
      </c>
      <c r="H50" s="96">
        <v>-25</v>
      </c>
      <c r="I50" s="96">
        <v>-15</v>
      </c>
      <c r="J50" s="96">
        <v>9</v>
      </c>
    </row>
    <row r="51" spans="1:10" x14ac:dyDescent="0.25">
      <c r="A51" s="94" t="s">
        <v>143</v>
      </c>
      <c r="B51" s="96">
        <v>-123</v>
      </c>
      <c r="C51" s="96">
        <v>-67</v>
      </c>
      <c r="D51" s="97">
        <v>0</v>
      </c>
      <c r="G51" s="94" t="s">
        <v>145</v>
      </c>
      <c r="H51" s="96">
        <v>688</v>
      </c>
      <c r="I51" s="96">
        <v>-1489</v>
      </c>
      <c r="J51" s="96">
        <v>175</v>
      </c>
    </row>
    <row r="52" spans="1:10" x14ac:dyDescent="0.25">
      <c r="A52" s="94" t="s">
        <v>144</v>
      </c>
      <c r="B52" s="96">
        <v>319</v>
      </c>
      <c r="C52" s="96">
        <v>503</v>
      </c>
      <c r="D52" s="96">
        <v>131</v>
      </c>
      <c r="G52" s="94" t="s">
        <v>197</v>
      </c>
      <c r="H52" s="93"/>
      <c r="I52" s="93"/>
      <c r="J52" s="93"/>
    </row>
    <row r="53" spans="1:10" x14ac:dyDescent="0.25">
      <c r="A53" s="94" t="s">
        <v>80</v>
      </c>
      <c r="B53" s="96">
        <v>-21</v>
      </c>
      <c r="C53" s="96">
        <v>-8</v>
      </c>
      <c r="D53" s="96">
        <v>15</v>
      </c>
      <c r="G53" s="94" t="s">
        <v>198</v>
      </c>
      <c r="H53" s="96">
        <v>147</v>
      </c>
      <c r="I53" s="96">
        <v>-139</v>
      </c>
      <c r="J53" s="96">
        <v>3</v>
      </c>
    </row>
    <row r="54" spans="1:10" x14ac:dyDescent="0.25">
      <c r="A54" s="94" t="s">
        <v>145</v>
      </c>
      <c r="B54" s="96">
        <v>4077</v>
      </c>
      <c r="C54" s="96">
        <v>-973</v>
      </c>
      <c r="D54" s="96">
        <v>-2624</v>
      </c>
      <c r="G54" s="94" t="s">
        <v>199</v>
      </c>
      <c r="H54" s="93"/>
      <c r="I54" s="93"/>
      <c r="J54" s="93"/>
    </row>
    <row r="55" spans="1:10" x14ac:dyDescent="0.25">
      <c r="A55" s="94" t="s">
        <v>146</v>
      </c>
      <c r="B55" s="96">
        <v>61</v>
      </c>
      <c r="C55" s="96">
        <v>-177</v>
      </c>
      <c r="D55" s="96">
        <v>-190</v>
      </c>
      <c r="G55" s="94" t="s">
        <v>200</v>
      </c>
      <c r="H55" s="96">
        <v>1099</v>
      </c>
      <c r="I55" s="96">
        <v>-212</v>
      </c>
      <c r="J55" s="96">
        <v>1392</v>
      </c>
    </row>
    <row r="56" spans="1:10" x14ac:dyDescent="0.25">
      <c r="A56" s="94" t="s">
        <v>147</v>
      </c>
      <c r="B56" s="93"/>
      <c r="C56" s="93"/>
      <c r="D56" s="93"/>
      <c r="G56" s="94" t="s">
        <v>201</v>
      </c>
      <c r="H56" s="93"/>
      <c r="I56" s="93"/>
      <c r="J56" s="93"/>
    </row>
    <row r="57" spans="1:10" x14ac:dyDescent="0.25">
      <c r="A57" s="94" t="s">
        <v>148</v>
      </c>
      <c r="B57" s="96">
        <v>41</v>
      </c>
      <c r="C57" s="96">
        <v>1667</v>
      </c>
      <c r="D57" s="96">
        <v>46</v>
      </c>
      <c r="G57" s="94" t="s">
        <v>149</v>
      </c>
      <c r="H57" s="93"/>
      <c r="I57" s="93"/>
      <c r="J57" s="93"/>
    </row>
    <row r="58" spans="1:10" x14ac:dyDescent="0.25">
      <c r="A58" s="94" t="s">
        <v>149</v>
      </c>
      <c r="B58" s="93"/>
      <c r="C58" s="93"/>
      <c r="D58" s="93"/>
      <c r="G58" s="94" t="s">
        <v>202</v>
      </c>
      <c r="H58" s="96">
        <v>1818</v>
      </c>
      <c r="I58" s="96">
        <v>2917</v>
      </c>
      <c r="J58" s="96">
        <v>2705</v>
      </c>
    </row>
    <row r="59" spans="1:10" x14ac:dyDescent="0.25">
      <c r="A59" s="94" t="s">
        <v>150</v>
      </c>
      <c r="B59" s="96">
        <v>4097</v>
      </c>
      <c r="C59" s="96">
        <v>4138</v>
      </c>
      <c r="D59" s="96">
        <v>5805</v>
      </c>
      <c r="G59" s="94" t="s">
        <v>201</v>
      </c>
      <c r="H59" s="93"/>
      <c r="I59" s="93"/>
      <c r="J59" s="93"/>
    </row>
    <row r="60" spans="1:10" x14ac:dyDescent="0.25">
      <c r="A60" s="94" t="s">
        <v>151</v>
      </c>
      <c r="B60" s="93"/>
      <c r="C60" s="93"/>
      <c r="D60" s="93"/>
      <c r="G60" s="94" t="s">
        <v>203</v>
      </c>
      <c r="H60" s="95">
        <v>2917</v>
      </c>
      <c r="I60" s="95">
        <v>2705</v>
      </c>
      <c r="J60" s="95">
        <v>4097</v>
      </c>
    </row>
    <row r="61" spans="1:10" x14ac:dyDescent="0.25">
      <c r="A61" s="94" t="s">
        <v>152</v>
      </c>
      <c r="B61" s="95">
        <v>4138</v>
      </c>
      <c r="C61" s="95">
        <v>5805</v>
      </c>
      <c r="D61" s="95">
        <v>5851</v>
      </c>
      <c r="G61" s="94" t="s">
        <v>154</v>
      </c>
      <c r="H61" s="93"/>
      <c r="I61" s="93"/>
      <c r="J61" s="93"/>
    </row>
    <row r="62" spans="1:10" x14ac:dyDescent="0.25">
      <c r="A62" s="94" t="s">
        <v>153</v>
      </c>
      <c r="B62" s="93"/>
      <c r="C62" s="93"/>
      <c r="D62" s="93"/>
      <c r="G62" s="94" t="s">
        <v>155</v>
      </c>
      <c r="H62" s="95">
        <v>163</v>
      </c>
      <c r="I62" s="95">
        <v>196</v>
      </c>
      <c r="J62" s="95">
        <v>157</v>
      </c>
    </row>
    <row r="63" spans="1:10" x14ac:dyDescent="0.25">
      <c r="A63" s="94" t="s">
        <v>154</v>
      </c>
      <c r="B63" s="93"/>
      <c r="C63" s="93"/>
      <c r="D63" s="93"/>
      <c r="G63" s="94" t="s">
        <v>156</v>
      </c>
      <c r="H63" s="96">
        <v>174</v>
      </c>
      <c r="I63" s="96">
        <v>282</v>
      </c>
      <c r="J63" s="96">
        <v>304</v>
      </c>
    </row>
    <row r="64" spans="1:10" x14ac:dyDescent="0.25">
      <c r="A64" s="94" t="s">
        <v>155</v>
      </c>
      <c r="B64" s="95">
        <v>313</v>
      </c>
      <c r="C64" s="95">
        <v>342</v>
      </c>
      <c r="D64" s="95">
        <v>291</v>
      </c>
    </row>
    <row r="65" spans="1:4" x14ac:dyDescent="0.25">
      <c r="A65" s="94" t="s">
        <v>156</v>
      </c>
      <c r="B65" s="96">
        <v>108</v>
      </c>
      <c r="C65" s="96">
        <v>74</v>
      </c>
      <c r="D65" s="96">
        <v>102</v>
      </c>
    </row>
  </sheetData>
  <sortState xmlns:xlrd2="http://schemas.microsoft.com/office/spreadsheetml/2017/richdata2" columnSort="1" ref="H3:J63">
    <sortCondition ref="H3:J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G9" sqref="G9"/>
    </sheetView>
  </sheetViews>
  <sheetFormatPr defaultRowHeight="15" x14ac:dyDescent="0.25"/>
  <cols>
    <col min="3" max="3" width="12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v>0.22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66">
        <v>1.62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'EXPE DCF'!D73</f>
        <v>16046.803259760001</v>
      </c>
      <c r="D12" s="2"/>
      <c r="E12" s="2" t="s">
        <v>35</v>
      </c>
      <c r="F12" s="2"/>
      <c r="G12" s="21">
        <f>'EXPE DCF'!D70</f>
        <v>13654</v>
      </c>
      <c r="H12" s="2"/>
      <c r="I12" s="2" t="s">
        <v>47</v>
      </c>
      <c r="J12" s="2"/>
      <c r="K12" s="21">
        <f>G12+C12</f>
        <v>29700.803259760003</v>
      </c>
      <c r="L12" s="2"/>
    </row>
    <row r="13" spans="1:14" x14ac:dyDescent="0.25">
      <c r="A13" s="2" t="s">
        <v>48</v>
      </c>
      <c r="B13" s="2"/>
      <c r="C13" s="41">
        <f>C12/K12</f>
        <v>0.54028179370828466</v>
      </c>
      <c r="D13" s="2"/>
      <c r="E13" s="2" t="s">
        <v>49</v>
      </c>
      <c r="F13" s="2"/>
      <c r="G13" s="42">
        <f>G12/K12</f>
        <v>0.45971820629171534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3">
        <f>D7+D8*(D9)</f>
        <v>0.13420000000000001</v>
      </c>
      <c r="D14" s="2"/>
      <c r="E14" s="2" t="s">
        <v>51</v>
      </c>
      <c r="F14" s="2"/>
      <c r="G14" s="44">
        <v>4.7E-2</v>
      </c>
      <c r="H14" s="2"/>
      <c r="I14" s="45" t="s">
        <v>1</v>
      </c>
      <c r="J14" s="46"/>
      <c r="K14" s="63">
        <f>C13*C14+G14*G13*(1-D6)</f>
        <v>8.9359086158306095E-2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2023-08-15T08:40:59Z</dcterms:modified>
</cp:coreProperties>
</file>