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7697F0E8-0D7E-471E-B33E-1070C72D39AB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NOK DCF" sheetId="1" r:id="rId1"/>
    <sheet name="WACC" sheetId="2" r:id="rId2"/>
    <sheet name="Raw IS" sheetId="3" r:id="rId3"/>
    <sheet name="Raw CF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3" i="1" l="1"/>
  <c r="L64" i="1"/>
  <c r="L67" i="1"/>
  <c r="L66" i="1"/>
  <c r="D66" i="1"/>
  <c r="D64" i="1"/>
  <c r="J47" i="1"/>
  <c r="K47" i="1"/>
  <c r="L47" i="1"/>
  <c r="M47" i="1"/>
  <c r="N47" i="1"/>
  <c r="O47" i="1"/>
  <c r="P47" i="1"/>
  <c r="Q47" i="1"/>
  <c r="R47" i="1"/>
  <c r="I47" i="1"/>
  <c r="J44" i="1"/>
  <c r="K44" i="1"/>
  <c r="L44" i="1"/>
  <c r="M44" i="1"/>
  <c r="N44" i="1"/>
  <c r="O44" i="1"/>
  <c r="P44" i="1"/>
  <c r="Q44" i="1"/>
  <c r="R44" i="1"/>
  <c r="I44" i="1"/>
  <c r="J11" i="1"/>
  <c r="K11" i="1"/>
  <c r="L11" i="1" s="1"/>
  <c r="M11" i="1" s="1"/>
  <c r="N11" i="1" s="1"/>
  <c r="O11" i="1" s="1"/>
  <c r="P11" i="1" s="1"/>
  <c r="Q11" i="1" s="1"/>
  <c r="R11" i="1" s="1"/>
  <c r="I11" i="1"/>
  <c r="C53" i="1"/>
  <c r="G50" i="1"/>
  <c r="H50" i="1"/>
  <c r="F50" i="1"/>
  <c r="D50" i="1"/>
  <c r="E50" i="1"/>
  <c r="C50" i="1"/>
  <c r="G47" i="1"/>
  <c r="H47" i="1"/>
  <c r="F47" i="1"/>
  <c r="D47" i="1"/>
  <c r="E47" i="1"/>
  <c r="C47" i="1"/>
  <c r="H44" i="1"/>
  <c r="G44" i="1"/>
  <c r="F44" i="1"/>
  <c r="D44" i="1"/>
  <c r="E44" i="1"/>
  <c r="C44" i="1"/>
  <c r="G54" i="1"/>
  <c r="H54" i="1"/>
  <c r="H55" i="1" s="1"/>
  <c r="F54" i="1"/>
  <c r="E54" i="1"/>
  <c r="D55" i="1"/>
  <c r="E55" i="1"/>
  <c r="F55" i="1"/>
  <c r="G55" i="1"/>
  <c r="C55" i="1"/>
  <c r="G40" i="1"/>
  <c r="H40" i="1"/>
  <c r="F40" i="1"/>
  <c r="D40" i="1"/>
  <c r="E40" i="1"/>
  <c r="C40" i="1"/>
  <c r="G32" i="1"/>
  <c r="H32" i="1"/>
  <c r="F32" i="1"/>
  <c r="D32" i="1"/>
  <c r="E32" i="1"/>
  <c r="C32" i="1"/>
  <c r="G25" i="1"/>
  <c r="H25" i="1"/>
  <c r="F25" i="1"/>
  <c r="F28" i="1" s="1"/>
  <c r="D25" i="1"/>
  <c r="E25" i="1"/>
  <c r="C25" i="1"/>
  <c r="C26" i="1" s="1"/>
  <c r="G22" i="1"/>
  <c r="H22" i="1"/>
  <c r="F22" i="1"/>
  <c r="E22" i="1"/>
  <c r="D22" i="1"/>
  <c r="C22" i="1"/>
  <c r="G19" i="1"/>
  <c r="G28" i="1" s="1"/>
  <c r="H19" i="1"/>
  <c r="H28" i="1" s="1"/>
  <c r="F19" i="1"/>
  <c r="D19" i="1"/>
  <c r="D28" i="1" s="1"/>
  <c r="E19" i="1"/>
  <c r="E28" i="1" s="1"/>
  <c r="C19" i="1"/>
  <c r="C28" i="1" s="1"/>
  <c r="G14" i="1"/>
  <c r="H14" i="1"/>
  <c r="F14" i="1"/>
  <c r="D14" i="1"/>
  <c r="E14" i="1"/>
  <c r="C14" i="1"/>
  <c r="C16" i="1" s="1"/>
  <c r="C31" i="1" s="1"/>
  <c r="C35" i="1" s="1"/>
  <c r="C11" i="1"/>
  <c r="G11" i="1"/>
  <c r="H12" i="1" s="1"/>
  <c r="H11" i="1"/>
  <c r="H16" i="1" s="1"/>
  <c r="F11" i="1"/>
  <c r="F16" i="1" s="1"/>
  <c r="F31" i="1" s="1"/>
  <c r="F35" i="1" s="1"/>
  <c r="D11" i="1"/>
  <c r="D16" i="1" s="1"/>
  <c r="E11" i="1"/>
  <c r="F12" i="1" s="1"/>
  <c r="G12" i="2"/>
  <c r="D31" i="1" l="1"/>
  <c r="D35" i="1" s="1"/>
  <c r="H31" i="1"/>
  <c r="G16" i="1"/>
  <c r="G31" i="1" s="1"/>
  <c r="G35" i="1" s="1"/>
  <c r="E16" i="1"/>
  <c r="E31" i="1" s="1"/>
  <c r="E35" i="1" s="1"/>
  <c r="G12" i="1"/>
  <c r="E12" i="1"/>
  <c r="D12" i="1"/>
  <c r="E33" i="1"/>
  <c r="G33" i="1"/>
  <c r="C33" i="1"/>
  <c r="D33" i="1"/>
  <c r="F33" i="1"/>
  <c r="H33" i="1"/>
  <c r="I32" i="1"/>
  <c r="I25" i="1"/>
  <c r="D26" i="1"/>
  <c r="H26" i="1"/>
  <c r="E26" i="1"/>
  <c r="F26" i="1"/>
  <c r="G26" i="1"/>
  <c r="C14" i="2"/>
  <c r="D67" i="1"/>
  <c r="C12" i="2" s="1"/>
  <c r="I22" i="1"/>
  <c r="I19" i="1"/>
  <c r="D23" i="1"/>
  <c r="E23" i="1"/>
  <c r="F23" i="1"/>
  <c r="G23" i="1"/>
  <c r="H23" i="1"/>
  <c r="C23" i="1"/>
  <c r="D20" i="1"/>
  <c r="E20" i="1"/>
  <c r="F20" i="1"/>
  <c r="G20" i="1"/>
  <c r="H20" i="1"/>
  <c r="C20" i="1"/>
  <c r="G29" i="1"/>
  <c r="E29" i="1"/>
  <c r="C29" i="1"/>
  <c r="E48" i="1"/>
  <c r="D48" i="1"/>
  <c r="C48" i="1"/>
  <c r="F48" i="1"/>
  <c r="G48" i="1"/>
  <c r="H48" i="1"/>
  <c r="F45" i="1"/>
  <c r="H45" i="1"/>
  <c r="C45" i="1"/>
  <c r="D51" i="1"/>
  <c r="C51" i="1"/>
  <c r="D45" i="1"/>
  <c r="D17" i="1"/>
  <c r="F51" i="1"/>
  <c r="G51" i="1"/>
  <c r="H51" i="1"/>
  <c r="G45" i="1"/>
  <c r="E45" i="1"/>
  <c r="F17" i="1"/>
  <c r="J9" i="1"/>
  <c r="K9" i="1" s="1"/>
  <c r="L9" i="1" s="1"/>
  <c r="M9" i="1" s="1"/>
  <c r="N9" i="1" s="1"/>
  <c r="O9" i="1" s="1"/>
  <c r="P9" i="1" s="1"/>
  <c r="Q9" i="1" s="1"/>
  <c r="R9" i="1" s="1"/>
  <c r="H37" i="1" l="1"/>
  <c r="H35" i="1"/>
  <c r="I28" i="1"/>
  <c r="H17" i="1"/>
  <c r="I50" i="1"/>
  <c r="E51" i="1"/>
  <c r="K12" i="2"/>
  <c r="C13" i="2" s="1"/>
  <c r="I16" i="1"/>
  <c r="G37" i="1"/>
  <c r="G53" i="1" s="1"/>
  <c r="G17" i="1"/>
  <c r="C17" i="1"/>
  <c r="E17" i="1"/>
  <c r="H29" i="1"/>
  <c r="F29" i="1"/>
  <c r="D29" i="1"/>
  <c r="I29" i="1" l="1"/>
  <c r="I31" i="1"/>
  <c r="G57" i="1"/>
  <c r="G41" i="1"/>
  <c r="C37" i="1"/>
  <c r="I14" i="1"/>
  <c r="G13" i="2"/>
  <c r="K14" i="2" s="1"/>
  <c r="E5" i="1" s="1"/>
  <c r="E37" i="1"/>
  <c r="E53" i="1" s="1"/>
  <c r="D37" i="1"/>
  <c r="F37" i="1"/>
  <c r="F53" i="1" s="1"/>
  <c r="H53" i="1"/>
  <c r="G38" i="1"/>
  <c r="D41" i="1" l="1"/>
  <c r="D53" i="1"/>
  <c r="I37" i="1"/>
  <c r="I40" i="1" s="1"/>
  <c r="I35" i="1"/>
  <c r="H57" i="1"/>
  <c r="H41" i="1"/>
  <c r="F57" i="1"/>
  <c r="F41" i="1"/>
  <c r="E57" i="1"/>
  <c r="E41" i="1"/>
  <c r="C57" i="1"/>
  <c r="C38" i="1"/>
  <c r="C41" i="1"/>
  <c r="E38" i="1"/>
  <c r="D57" i="1"/>
  <c r="D38" i="1"/>
  <c r="H38" i="1"/>
  <c r="F38" i="1"/>
  <c r="I55" i="1" l="1"/>
  <c r="I38" i="1"/>
  <c r="I53" i="1"/>
  <c r="I57" i="1" s="1"/>
  <c r="I58" i="1" s="1"/>
  <c r="J19" i="1" l="1"/>
  <c r="J22" i="1"/>
  <c r="J32" i="1"/>
  <c r="J25" i="1"/>
  <c r="J50" i="1"/>
  <c r="J16" i="1"/>
  <c r="J14" i="1" s="1"/>
  <c r="J28" i="1" l="1"/>
  <c r="J29" i="1" l="1"/>
  <c r="J31" i="1"/>
  <c r="J35" i="1" s="1"/>
  <c r="J37" i="1"/>
  <c r="J40" i="1" l="1"/>
  <c r="J53" i="1" s="1"/>
  <c r="J57" i="1" s="1"/>
  <c r="J58" i="1" s="1"/>
  <c r="J38" i="1"/>
  <c r="K19" i="1"/>
  <c r="K50" i="1"/>
  <c r="K25" i="1"/>
  <c r="K22" i="1"/>
  <c r="K32" i="1"/>
  <c r="K16" i="1"/>
  <c r="K28" i="1" l="1"/>
  <c r="J55" i="1"/>
  <c r="K14" i="1"/>
  <c r="K29" i="1" l="1"/>
  <c r="K31" i="1"/>
  <c r="K35" i="1" s="1"/>
  <c r="K37" i="1"/>
  <c r="K40" i="1" l="1"/>
  <c r="K55" i="1" s="1"/>
  <c r="K38" i="1"/>
  <c r="L19" i="1"/>
  <c r="L25" i="1"/>
  <c r="L50" i="1"/>
  <c r="L22" i="1"/>
  <c r="L32" i="1"/>
  <c r="L16" i="1"/>
  <c r="L14" i="1" s="1"/>
  <c r="K53" i="1" l="1"/>
  <c r="K57" i="1" s="1"/>
  <c r="K58" i="1" s="1"/>
  <c r="L28" i="1"/>
  <c r="L29" i="1" l="1"/>
  <c r="L31" i="1"/>
  <c r="L37" i="1" s="1"/>
  <c r="L35" i="1" l="1"/>
  <c r="L38" i="1"/>
  <c r="L40" i="1"/>
  <c r="L55" i="1" s="1"/>
  <c r="M19" i="1"/>
  <c r="M16" i="1"/>
  <c r="M22" i="1"/>
  <c r="M50" i="1"/>
  <c r="M32" i="1"/>
  <c r="M14" i="1"/>
  <c r="M25" i="1"/>
  <c r="M28" i="1" l="1"/>
  <c r="L53" i="1"/>
  <c r="L57" i="1" s="1"/>
  <c r="L58" i="1" s="1"/>
  <c r="M29" i="1" l="1"/>
  <c r="M31" i="1"/>
  <c r="M37" i="1" s="1"/>
  <c r="M35" i="1" l="1"/>
  <c r="M38" i="1"/>
  <c r="M40" i="1"/>
  <c r="M55" i="1" s="1"/>
  <c r="N16" i="1"/>
  <c r="N25" i="1"/>
  <c r="N32" i="1"/>
  <c r="N14" i="1"/>
  <c r="N50" i="1"/>
  <c r="N22" i="1"/>
  <c r="N19" i="1"/>
  <c r="N28" i="1" l="1"/>
  <c r="M53" i="1"/>
  <c r="M57" i="1" s="1"/>
  <c r="M58" i="1" s="1"/>
  <c r="N29" i="1" l="1"/>
  <c r="N31" i="1"/>
  <c r="N35" i="1" s="1"/>
  <c r="N37" i="1" l="1"/>
  <c r="N40" i="1"/>
  <c r="N53" i="1" s="1"/>
  <c r="N57" i="1" s="1"/>
  <c r="N58" i="1" s="1"/>
  <c r="N38" i="1"/>
  <c r="O19" i="1"/>
  <c r="O22" i="1"/>
  <c r="O32" i="1"/>
  <c r="O50" i="1"/>
  <c r="O25" i="1"/>
  <c r="O16" i="1"/>
  <c r="O14" i="1" s="1"/>
  <c r="N55" i="1" l="1"/>
  <c r="O28" i="1"/>
  <c r="O31" i="1" s="1"/>
  <c r="O29" i="1" l="1"/>
  <c r="O35" i="1" l="1"/>
  <c r="O37" i="1"/>
  <c r="O40" i="1" l="1"/>
  <c r="O53" i="1" s="1"/>
  <c r="O57" i="1" s="1"/>
  <c r="O58" i="1" s="1"/>
  <c r="O38" i="1"/>
  <c r="P19" i="1"/>
  <c r="P32" i="1"/>
  <c r="P50" i="1"/>
  <c r="P22" i="1"/>
  <c r="P25" i="1"/>
  <c r="P16" i="1"/>
  <c r="P14" i="1" s="1"/>
  <c r="O55" i="1" l="1"/>
  <c r="P28" i="1"/>
  <c r="P29" i="1" l="1"/>
  <c r="P31" i="1"/>
  <c r="P35" i="1" s="1"/>
  <c r="P37" i="1" l="1"/>
  <c r="P38" i="1" s="1"/>
  <c r="Q19" i="1"/>
  <c r="Q25" i="1"/>
  <c r="Q32" i="1"/>
  <c r="Q50" i="1"/>
  <c r="Q22" i="1"/>
  <c r="Q16" i="1"/>
  <c r="P40" i="1" l="1"/>
  <c r="P55" i="1" s="1"/>
  <c r="P53" i="1"/>
  <c r="P57" i="1" s="1"/>
  <c r="P58" i="1" s="1"/>
  <c r="Q14" i="1"/>
  <c r="Q28" i="1"/>
  <c r="Q29" i="1" l="1"/>
  <c r="Q31" i="1"/>
  <c r="Q37" i="1" s="1"/>
  <c r="Q35" i="1" l="1"/>
  <c r="Q38" i="1"/>
  <c r="Q40" i="1"/>
  <c r="Q53" i="1" s="1"/>
  <c r="Q57" i="1" s="1"/>
  <c r="Q58" i="1" s="1"/>
  <c r="R19" i="1"/>
  <c r="R22" i="1"/>
  <c r="R32" i="1"/>
  <c r="R50" i="1"/>
  <c r="R25" i="1"/>
  <c r="R16" i="1"/>
  <c r="Q55" i="1" l="1"/>
  <c r="R28" i="1"/>
  <c r="R14" i="1"/>
  <c r="R29" i="1" l="1"/>
  <c r="R31" i="1"/>
  <c r="R35" i="1" s="1"/>
  <c r="R37" i="1" l="1"/>
  <c r="R40" i="1"/>
  <c r="R53" i="1" s="1"/>
  <c r="R57" i="1" s="1"/>
  <c r="R38" i="1"/>
  <c r="R55" i="1" l="1"/>
  <c r="S55" i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R58" i="1"/>
  <c r="C60" i="1"/>
  <c r="C61" i="1" s="1"/>
  <c r="G63" i="1" l="1"/>
  <c r="G65" i="1" s="1"/>
  <c r="G68" i="1" s="1"/>
  <c r="F60" i="1"/>
  <c r="H63" i="1" s="1"/>
  <c r="H65" i="1" s="1"/>
  <c r="H68" i="1" s="1"/>
  <c r="D68" i="1" l="1"/>
  <c r="J6" i="1" s="1"/>
  <c r="N5" i="1" s="1"/>
  <c r="L62" i="1" l="1"/>
</calcChain>
</file>

<file path=xl/sharedStrings.xml><?xml version="1.0" encoding="utf-8"?>
<sst xmlns="http://schemas.openxmlformats.org/spreadsheetml/2006/main" count="400" uniqueCount="180">
  <si>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</si>
  <si>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</si>
  <si>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</si>
  <si>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</si>
  <si>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</si>
  <si>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</si>
  <si>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</si>
  <si>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</si>
  <si>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</si>
  <si>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</si>
  <si>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</si>
  <si>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</si>
  <si>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</si>
  <si>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 xml:space="preserve">Other 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</si>
  <si>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</si>
  <si>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</si>
  <si>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</si>
  <si>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</si>
  <si>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</si>
  <si>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</si>
  <si>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</si>
  <si>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</si>
  <si>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</si>
  <si>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</si>
  <si>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</si>
  <si>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</si>
  <si>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</si>
  <si>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</si>
  <si>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</si>
  <si>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</si>
  <si>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</si>
  <si>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</si>
  <si>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</si>
  <si>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</si>
  <si>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</si>
  <si>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</si>
  <si>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</si>
  <si>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</si>
  <si>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</si>
  <si>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</si>
  <si>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</si>
  <si>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</si>
  <si>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</si>
  <si>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</si>
  <si>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</si>
  <si>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</si>
  <si>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</si>
  <si>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</si>
  <si>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</si>
  <si>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</si>
  <si>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</si>
  <si>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</si>
  <si>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</si>
  <si>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SG&amp;A</t>
  </si>
  <si>
    <t xml:space="preserve">                                             Terminal Growth Rate</t>
  </si>
  <si>
    <t>Basic</t>
  </si>
  <si>
    <t>Diluted</t>
  </si>
  <si>
    <t>For the year ended 31 December</t>
  </si>
  <si>
    <t>Notes</t>
  </si>
  <si>
    <t>EURm</t>
  </si>
  <si>
    <t>Profit/(loss) for the year</t>
  </si>
  <si>
    <t>EUR</t>
  </si>
  <si>
    <t>Cash flow from operating activities</t>
  </si>
  <si>
    <t>Adjustments, total</t>
  </si>
  <si>
    <t>Change in net working capital (1)</t>
  </si>
  <si>
    <t>(Increase)/decrease in receivables</t>
  </si>
  <si>
    <t>(Increase)/decrease in inventories</t>
  </si>
  <si>
    <t>Decrease in non-interest-bearing liabilities</t>
  </si>
  <si>
    <t>Cash flows from operations</t>
  </si>
  <si>
    <t>Interest received</t>
  </si>
  <si>
    <t>Interest paid</t>
  </si>
  <si>
    <t>15, 20</t>
  </si>
  <si>
    <t>Income taxes paid, net</t>
  </si>
  <si>
    <t>Net cash flows from operating activities</t>
  </si>
  <si>
    <t>Cash flow from investing activities</t>
  </si>
  <si>
    <t>Purchase of property, plant and equipment and intangible assets</t>
  </si>
  <si>
    <t>Proceeds from sale of property, plant and equipment and intangible assets</t>
  </si>
  <si>
    <t>Acquisition of businesses, net of cash acquired</t>
  </si>
  <si>
    <t>Purchase of interest-bearing financial investments</t>
  </si>
  <si>
    <t>Proceeds from maturities and sale of interest-bearing financial investments</t>
  </si>
  <si>
    <t>Purchase of other non-current financial investments</t>
  </si>
  <si>
    <t>Proceeds from sale of other non-current financial investments</t>
  </si>
  <si>
    <t>Foreign exchange hedging of cash and cash equivalents</t>
  </si>
  <si>
    <t>Other</t>
  </si>
  <si>
    <t>Net cash flows used in investing activities</t>
  </si>
  <si>
    <t>Cash flow from financing activities</t>
  </si>
  <si>
    <t>Acquisition of treasury shares</t>
  </si>
  <si>
    <t>–</t>
  </si>
  <si>
    <t>Proceeds from long-term borrowings</t>
  </si>
  <si>
    <t>Repayment of long-term borrowings</t>
  </si>
  <si>
    <t>Proceeds from/(repayment of) short-term borrowings</t>
  </si>
  <si>
    <t>Payment of principal portion of lease liabilities</t>
  </si>
  <si>
    <t>Dividends paid and other contributions to shareholders</t>
  </si>
  <si>
    <t>Net cash flows (used in)/from financing activities</t>
  </si>
  <si>
    <t>Translation differences</t>
  </si>
  <si>
    <t>Net (decrease)/increase in cash and cash equivalents</t>
  </si>
  <si>
    <t>Cash and cash equivalents at 1 January</t>
  </si>
  <si>
    <t>Cash and cash equivalents at 31 December</t>
  </si>
  <si>
    <t>For the year ended December 31</t>
  </si>
  <si>
    <t>For,the,year,ended,December 31</t>
  </si>
  <si>
    <t>For,the,year,ended,31,December</t>
  </si>
  <si>
    <t>Net,sales</t>
  </si>
  <si>
    <t>5,,7</t>
  </si>
  <si>
    <t>5,,6</t>
  </si>
  <si>
    <t>Cost,of,sales</t>
  </si>
  <si>
    <t>Gross,profit</t>
  </si>
  <si>
    <t>Research,and,development,expenses</t>
  </si>
  <si>
    <t>Selling,,general,and,administrative,expenses</t>
  </si>
  <si>
    <t>Other,operating,income</t>
  </si>
  <si>
    <t>Other,operating,expenses</t>
  </si>
  <si>
    <t>8,,10</t>
  </si>
  <si>
    <t>7,,9</t>
  </si>
  <si>
    <t>Operating,profit/(loss)</t>
  </si>
  <si>
    <t>Operating,profit</t>
  </si>
  <si>
    <t>Share,of,results,of,associated,companies,and,joint,ventures</t>
  </si>
  <si>
    <t>Financial,income,and,expenses</t>
  </si>
  <si>
    <t>Financial,income</t>
  </si>
  <si>
    <t>Profit/(loss),before,tax</t>
  </si>
  <si>
    <t>Financial,expenses</t>
  </si>
  <si>
    <t>Income,tax,expense</t>
  </si>
  <si>
    <t>Profit,before,tax</t>
  </si>
  <si>
    <t>Profit/(loss),for,the,year,from,Continuing,operations</t>
  </si>
  <si>
    <t>Income,tax,benefit/(expense)</t>
  </si>
  <si>
    <t>Profit/(loss),for,the,year,from,Continuing,operations,attributable,to:</t>
  </si>
  <si>
    <t>Profit/(loss),for,the,year,from,continuing,operations</t>
  </si>
  <si>
    <t>Equity,holders,of,the,parent</t>
  </si>
  <si>
    <t>Profit/(loss),for,the,year,from,discontinued,operations</t>
  </si>
  <si>
    <t>Non-controlling,interests</t>
  </si>
  <si>
    <t>Profit/(loss),for,the,year</t>
  </si>
  <si>
    <t>Attributable,to:</t>
  </si>
  <si>
    <t>Profit/(loss),for,the,year,from,Discontinued,operations,attributable,to:</t>
  </si>
  <si>
    <t>(Loss)/profit,for,the,year,from,Discontinued,operations</t>
  </si>
  <si>
    <t>Earnings,per,share,attributable,to,equity,holders,of,the,parent</t>
  </si>
  <si>
    <t>Profit/(loss),for,the,year,attributable,to:</t>
  </si>
  <si>
    <t>Continuing,operations</t>
  </si>
  <si>
    <t>Basic,earnings,per,share</t>
  </si>
  <si>
    <t>Discontinued,operations</t>
  </si>
  <si>
    <t>Profit/loss,for,the,year</t>
  </si>
  <si>
    <t>Diluted,earnings,per,share</t>
  </si>
  <si>
    <t>Average,number,of,shares</t>
  </si>
  <si>
    <t>000s,shares</t>
  </si>
  <si>
    <t>NCI</t>
  </si>
  <si>
    <t>Adjustments,,total</t>
  </si>
  <si>
    <t>Change,in,net,working,capital(1)</t>
  </si>
  <si>
    <t>Decrease/(increase),in,receivables</t>
  </si>
  <si>
    <t>Decrease/(increase),in,inventories</t>
  </si>
  <si>
    <t>(Decrease)/increase,in,non-interest,bearing,liabilities</t>
  </si>
  <si>
    <t>Cash,from,operations</t>
  </si>
  <si>
    <t>Interest,received</t>
  </si>
  <si>
    <t>Interest,paid</t>
  </si>
  <si>
    <t>16,,23</t>
  </si>
  <si>
    <t>Income,taxes,paid,,net</t>
  </si>
  <si>
    <t>Net,cash,from,operating,activities</t>
  </si>
  <si>
    <t>Cash,flow,from,investing,activities</t>
  </si>
  <si>
    <t>Purchase,of,property,,plant,and,equipment,and,intangible,assets</t>
  </si>
  <si>
    <t>Proceeds,from,sale,of,property,,plant,and,equipment,and,intangible,assets</t>
  </si>
  <si>
    <t>Acquisition,of,businesses,,net,of,acquired,cash</t>
  </si>
  <si>
    <t>Proceeds,from,disposal,of,businesses,,net,of,disposed,cash</t>
  </si>
  <si>
    <t>Purchase,of,current,financial,investments</t>
  </si>
  <si>
    <t>Proceeds,from,maturities,and,sale,of,current,financial,investments</t>
  </si>
  <si>
    <t>Purchase,of,non-current,financial,investments</t>
  </si>
  <si>
    <t>Proceeds,from,sale,of,non-current,financial,investments</t>
  </si>
  <si>
    <t>Payment,of,other,long-term,loans,receivable</t>
  </si>
  <si>
    <t>Net,cash,(used,in)/from,investing,activities</t>
  </si>
  <si>
    <t>Cash,flow,from,financing,activities</t>
  </si>
  <si>
    <t>Proceeds,from,stock,option,exercises</t>
  </si>
  <si>
    <t>Purchase,of,treasury,shares</t>
  </si>
  <si>
    <t>Purchase,of,equity,instruments,of,subsidiaries</t>
  </si>
  <si>
    <t>Proceeds,from,long-term,borrowings</t>
  </si>
  <si>
    <t>Repayment,of,long-term,borrowings</t>
  </si>
  <si>
    <t>Proceeds,from/(repayment,of),short-term,borrowings</t>
  </si>
  <si>
    <t>Payment,of,principal,portion,of,lease,liabilities</t>
  </si>
  <si>
    <t>Dividends,paid</t>
  </si>
  <si>
    <t>Net,cash,used,in,financing,activities</t>
  </si>
  <si>
    <t>Translation,differences</t>
  </si>
  <si>
    <t>Net,decrease,in,cash,and,cash,equivalents</t>
  </si>
  <si>
    <t>Cash,and,cash,equivalents,as,of,January,1</t>
  </si>
  <si>
    <t>Cash,and,cash,equivalents,as,of,December 31</t>
  </si>
  <si>
    <t>Nokia Oyj DCF</t>
  </si>
  <si>
    <t>Update 22/07/2023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</si>
</sst>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\(#,##0_);[Red]\(#,##0\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0" fontId="3" fillId="2" borderId="8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9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3" fontId="3" fillId="2" borderId="1" xfId="0" applyNumberFormat="1" applyFont="1" applyFill="1" applyBorder="1"/>
    <xf numFmtId="0" fontId="9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10" xfId="0" applyFont="1" applyFill="1" applyBorder="1"/>
    <xf numFmtId="0" fontId="0" fillId="2" borderId="11" xfId="0" applyFill="1" applyBorder="1"/>
    <xf numFmtId="10" fontId="2" fillId="2" borderId="12" xfId="0" applyNumberFormat="1" applyFont="1" applyFill="1" applyBorder="1"/>
    <xf numFmtId="0" fontId="0" fillId="8" borderId="0" xfId="0" applyFill="1"/>
    <xf numFmtId="0" fontId="6" fillId="8" borderId="0" xfId="0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Border="1" applyAlignment="1">
      <alignment horizontal="left"/>
    </xf>
    <xf numFmtId="164" fontId="3" fillId="8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6" xfId="0" applyNumberFormat="1" applyFont="1" applyFill="1" applyBorder="1"/>
    <xf numFmtId="0" fontId="11" fillId="0" borderId="0" xfId="0" applyFont="1"/>
    <xf numFmtId="0" fontId="0" fillId="0" borderId="0" xfId="0" applyAlignment="1">
      <alignment horizontal="right"/>
    </xf>
    <xf numFmtId="10" fontId="8" fillId="8" borderId="0" xfId="0" applyNumberFormat="1" applyFont="1" applyFill="1"/>
    <xf numFmtId="0" fontId="7" fillId="5" borderId="0" xfId="0" applyFont="1" applyFill="1"/>
    <xf numFmtId="0" fontId="1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11" fillId="0" borderId="0" xfId="0" applyNumberFormat="1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166" fontId="1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6" fillId="3" borderId="0" xfId="0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2" fontId="1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14" fillId="0" borderId="0" xfId="0" applyNumberFormat="1" applyFont="1" applyAlignment="1"/>
    <xf numFmtId="2" fontId="0" fillId="0" borderId="0" xfId="0" applyNumberFormat="1" applyFont="1" applyAlignment="1"/>
    <xf numFmtId="164" fontId="0" fillId="8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10" fillId="10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1" fontId="0" fillId="2" borderId="4" xfId="0" applyNumberFormat="1" applyFill="1" applyBorder="1" applyAlignment="1">
      <alignment horizontal="right"/>
    </xf>
    <xf numFmtId="164" fontId="7" fillId="5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0" xfId="0" applyFill="1" applyAlignment="1">
      <alignment horizontal="right"/>
    </xf>
    <xf numFmtId="1" fontId="0" fillId="2" borderId="14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164" fontId="12" fillId="5" borderId="4" xfId="0" applyNumberFormat="1" applyFont="1" applyFill="1" applyBorder="1" applyAlignment="1">
      <alignment horizontal="right"/>
    </xf>
    <xf numFmtId="164" fontId="12" fillId="5" borderId="4" xfId="1" applyNumberFormat="1" applyFont="1" applyFill="1" applyBorder="1" applyAlignment="1">
      <alignment horizontal="right"/>
    </xf>
    <xf numFmtId="164" fontId="3" fillId="2" borderId="0" xfId="1" applyNumberFormat="1" applyFont="1" applyFill="1" applyAlignment="1">
      <alignment horizontal="right"/>
    </xf>
    <xf numFmtId="10" fontId="0" fillId="2" borderId="4" xfId="1" applyNumberFormat="1" applyFont="1" applyFill="1" applyBorder="1" applyAlignment="1">
      <alignment horizontal="right"/>
    </xf>
    <xf numFmtId="3" fontId="0" fillId="2" borderId="4" xfId="0" applyNumberFormat="1" applyFill="1" applyBorder="1" applyAlignment="1">
      <alignment horizontal="right"/>
    </xf>
    <xf numFmtId="3" fontId="0" fillId="2" borderId="0" xfId="0" applyNumberFormat="1" applyFill="1" applyAlignment="1">
      <alignment horizontal="right"/>
    </xf>
    <xf numFmtId="164" fontId="12" fillId="5" borderId="0" xfId="1" applyNumberFormat="1" applyFont="1" applyFill="1" applyBorder="1" applyAlignment="1">
      <alignment horizontal="right"/>
    </xf>
    <xf numFmtId="164" fontId="7" fillId="2" borderId="0" xfId="1" applyNumberFormat="1" applyFont="1" applyFill="1" applyAlignment="1">
      <alignment horizontal="right"/>
    </xf>
    <xf numFmtId="164" fontId="12" fillId="2" borderId="4" xfId="1" applyNumberFormat="1" applyFont="1" applyFill="1" applyBorder="1" applyAlignment="1">
      <alignment horizontal="right"/>
    </xf>
    <xf numFmtId="164" fontId="12" fillId="2" borderId="0" xfId="1" applyNumberFormat="1" applyFont="1" applyFill="1" applyBorder="1" applyAlignment="1">
      <alignment horizontal="right"/>
    </xf>
    <xf numFmtId="1" fontId="3" fillId="2" borderId="0" xfId="1" applyNumberFormat="1" applyFont="1" applyFill="1" applyAlignment="1">
      <alignment horizontal="right"/>
    </xf>
    <xf numFmtId="10" fontId="3" fillId="2" borderId="0" xfId="1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0" fontId="2" fillId="3" borderId="4" xfId="0" applyFont="1" applyFill="1" applyBorder="1" applyAlignment="1">
      <alignment horizontal="right"/>
    </xf>
    <xf numFmtId="164" fontId="0" fillId="5" borderId="4" xfId="0" applyNumberFormat="1" applyFill="1" applyBorder="1" applyAlignment="1">
      <alignment horizontal="right"/>
    </xf>
    <xf numFmtId="1" fontId="3" fillId="2" borderId="13" xfId="0" applyNumberFormat="1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right"/>
    </xf>
    <xf numFmtId="1" fontId="0" fillId="2" borderId="0" xfId="0" applyNumberFormat="1" applyFill="1" applyBorder="1" applyAlignment="1">
      <alignment horizontal="right"/>
    </xf>
    <xf numFmtId="164" fontId="7" fillId="5" borderId="0" xfId="1" applyNumberFormat="1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64" fontId="12" fillId="5" borderId="0" xfId="0" applyNumberFormat="1" applyFont="1" applyFill="1" applyBorder="1" applyAlignment="1">
      <alignment horizontal="right"/>
    </xf>
    <xf numFmtId="3" fontId="0" fillId="2" borderId="0" xfId="0" applyNumberForma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164" fontId="0" fillId="5" borderId="0" xfId="0" applyNumberFormat="1" applyFill="1" applyBorder="1" applyAlignment="1">
      <alignment horizontal="right"/>
    </xf>
    <xf numFmtId="164" fontId="7" fillId="5" borderId="4" xfId="1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8"/>
  <sheetViews>
    <sheetView tabSelected="1" topLeftCell="A55" workbookViewId="0">
      <selection activeCell="K65" sqref="K65"/>
    </sheetView>
  </sheetViews>
  <sheetFormatPr defaultRowHeight="15" x14ac:dyDescent="0.25"/>
  <cols>
    <col min="1" max="1" width="9.140625" style="2"/>
    <col min="2" max="2" width="19.5703125" style="2" customWidth="1"/>
    <col min="3" max="3" width="12.85546875" style="2" bestFit="1" customWidth="1"/>
    <col min="4" max="5" width="9.140625" style="2"/>
    <col min="6" max="6" width="9.85546875" style="2" customWidth="1"/>
    <col min="7" max="8" width="10.85546875" style="2" customWidth="1"/>
    <col min="9" max="16384" width="9.140625" style="2"/>
  </cols>
  <sheetData>
    <row r="1" spans="1:86" s="47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86" s="47" customFormat="1" ht="23.25" x14ac:dyDescent="0.35">
      <c r="A2" s="3"/>
      <c r="B2" s="4" t="s">
        <v>178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5"/>
    </row>
    <row r="3" spans="1:86" s="47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86" s="47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86" s="47" customFormat="1" x14ac:dyDescent="0.25">
      <c r="A5" s="1"/>
      <c r="B5" s="1"/>
      <c r="C5" s="7" t="s">
        <v>1</v>
      </c>
      <c r="D5" s="1"/>
      <c r="E5" s="8">
        <f>WACC!K14</f>
        <v>8.9026375501421701E-2</v>
      </c>
      <c r="F5" s="2"/>
      <c r="G5" s="1"/>
      <c r="H5" s="1" t="s">
        <v>2</v>
      </c>
      <c r="I5" s="1"/>
      <c r="J5" s="7">
        <v>3.94</v>
      </c>
      <c r="K5" s="1"/>
      <c r="L5" s="1" t="s">
        <v>3</v>
      </c>
      <c r="M5" s="1"/>
      <c r="N5" s="7">
        <f>(J6/J5)-1</f>
        <v>0.27702686672315013</v>
      </c>
      <c r="O5" s="1"/>
      <c r="P5" s="1" t="s">
        <v>179</v>
      </c>
      <c r="Q5" s="1"/>
      <c r="R5" s="2"/>
    </row>
    <row r="6" spans="1:86" s="47" customFormat="1" x14ac:dyDescent="0.25">
      <c r="A6" s="1"/>
      <c r="B6" s="1"/>
      <c r="C6" s="7" t="s">
        <v>4</v>
      </c>
      <c r="D6" s="1"/>
      <c r="E6" s="8">
        <v>5.0000000000000001E-3</v>
      </c>
      <c r="F6" s="2"/>
      <c r="G6" s="1"/>
      <c r="H6" s="1" t="s">
        <v>5</v>
      </c>
      <c r="I6" s="1"/>
      <c r="J6" s="79">
        <f>D68</f>
        <v>5.0314858548892119</v>
      </c>
      <c r="K6" s="1"/>
      <c r="L6" s="1"/>
      <c r="M6" s="1"/>
      <c r="N6" s="1"/>
      <c r="O6" s="1"/>
      <c r="P6" s="1"/>
      <c r="Q6" s="1"/>
      <c r="R6" s="2"/>
    </row>
    <row r="7" spans="1:86" s="47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"/>
      <c r="L7" s="1"/>
      <c r="M7" s="2"/>
      <c r="N7" s="2"/>
      <c r="O7" s="1"/>
      <c r="P7" s="1"/>
      <c r="Q7" s="1"/>
      <c r="R7" s="2"/>
    </row>
    <row r="8" spans="1:86" s="47" customFormat="1" x14ac:dyDescent="0.25">
      <c r="A8" s="1"/>
      <c r="B8" s="10"/>
      <c r="C8" s="1"/>
      <c r="D8" s="1"/>
      <c r="E8" s="32"/>
      <c r="F8" s="1"/>
      <c r="G8" s="1"/>
      <c r="H8" s="10"/>
      <c r="I8" s="1"/>
      <c r="J8" s="1"/>
      <c r="K8" s="1"/>
      <c r="L8" s="1"/>
      <c r="M8" s="1"/>
      <c r="N8" s="1"/>
      <c r="O8" s="1"/>
      <c r="P8" s="1"/>
      <c r="Q8" s="1"/>
      <c r="R8" s="2"/>
    </row>
    <row r="9" spans="1:86" s="47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s="47" customFormat="1" x14ac:dyDescent="0.25">
      <c r="A10" s="1"/>
      <c r="B10" s="9" t="s">
        <v>6</v>
      </c>
      <c r="C10" s="69">
        <v>2017</v>
      </c>
      <c r="D10" s="69">
        <v>2018</v>
      </c>
      <c r="E10" s="69">
        <v>2019</v>
      </c>
      <c r="F10" s="69">
        <v>2020</v>
      </c>
      <c r="G10" s="69">
        <v>2021</v>
      </c>
      <c r="H10" s="69">
        <v>2022</v>
      </c>
      <c r="I10" s="104">
        <v>2023</v>
      </c>
      <c r="J10" s="105">
        <v>2024</v>
      </c>
      <c r="K10" s="105">
        <v>2025</v>
      </c>
      <c r="L10" s="105">
        <v>2026</v>
      </c>
      <c r="M10" s="105">
        <v>2027</v>
      </c>
      <c r="N10" s="105">
        <v>2028</v>
      </c>
      <c r="O10" s="105">
        <v>2029</v>
      </c>
      <c r="P10" s="105">
        <v>2030</v>
      </c>
      <c r="Q10" s="105">
        <v>2031</v>
      </c>
      <c r="R10" s="105">
        <v>2032</v>
      </c>
      <c r="S10" s="48">
        <v>2033</v>
      </c>
      <c r="T10" s="48">
        <v>2034</v>
      </c>
      <c r="U10" s="48">
        <v>2035</v>
      </c>
      <c r="V10" s="48">
        <v>2036</v>
      </c>
      <c r="W10" s="48">
        <v>2037</v>
      </c>
      <c r="X10" s="48">
        <v>2038</v>
      </c>
      <c r="Y10" s="48">
        <v>2039</v>
      </c>
      <c r="Z10" s="48">
        <v>2040</v>
      </c>
      <c r="AA10" s="48">
        <v>2041</v>
      </c>
      <c r="AB10" s="48">
        <v>2042</v>
      </c>
      <c r="AC10" s="48">
        <v>2043</v>
      </c>
      <c r="AD10" s="48">
        <v>2044</v>
      </c>
      <c r="AE10" s="48">
        <v>2045</v>
      </c>
      <c r="AF10" s="48">
        <v>2046</v>
      </c>
      <c r="AG10" s="48">
        <v>2047</v>
      </c>
      <c r="AH10" s="48">
        <v>2048</v>
      </c>
      <c r="AI10" s="48">
        <v>2049</v>
      </c>
      <c r="AJ10" s="48">
        <v>2050</v>
      </c>
      <c r="AK10" s="48">
        <v>2051</v>
      </c>
      <c r="AL10" s="48">
        <v>2052</v>
      </c>
      <c r="AM10" s="48">
        <v>2053</v>
      </c>
      <c r="AN10" s="48">
        <v>2054</v>
      </c>
      <c r="AO10" s="48">
        <v>2055</v>
      </c>
      <c r="AP10" s="48">
        <v>2056</v>
      </c>
      <c r="AQ10" s="48">
        <v>2057</v>
      </c>
      <c r="AR10" s="48">
        <v>2058</v>
      </c>
      <c r="AS10" s="48">
        <v>2059</v>
      </c>
      <c r="AT10" s="48">
        <v>2060</v>
      </c>
      <c r="AU10" s="48">
        <v>2061</v>
      </c>
      <c r="AV10" s="48">
        <v>2062</v>
      </c>
      <c r="AW10" s="48">
        <v>2063</v>
      </c>
      <c r="AX10" s="48">
        <v>2064</v>
      </c>
      <c r="AY10" s="48">
        <v>2065</v>
      </c>
      <c r="AZ10" s="48">
        <v>2066</v>
      </c>
      <c r="BA10" s="48">
        <v>2067</v>
      </c>
      <c r="BB10" s="48">
        <v>2068</v>
      </c>
      <c r="BC10" s="48">
        <v>2069</v>
      </c>
      <c r="BD10" s="48">
        <v>2070</v>
      </c>
      <c r="BE10" s="48">
        <v>2071</v>
      </c>
      <c r="BF10" s="48">
        <v>2072</v>
      </c>
      <c r="BG10" s="48">
        <v>2073</v>
      </c>
      <c r="BH10" s="48">
        <v>2074</v>
      </c>
      <c r="BI10" s="48">
        <v>2075</v>
      </c>
      <c r="BJ10" s="48">
        <v>2076</v>
      </c>
      <c r="BK10" s="48">
        <v>2077</v>
      </c>
      <c r="BL10" s="48">
        <v>2078</v>
      </c>
      <c r="BM10" s="48">
        <v>2079</v>
      </c>
      <c r="BN10" s="48">
        <v>2080</v>
      </c>
      <c r="BO10" s="48">
        <v>2081</v>
      </c>
      <c r="BP10" s="48">
        <v>2082</v>
      </c>
      <c r="BQ10" s="48">
        <v>2083</v>
      </c>
      <c r="BR10" s="48">
        <v>2084</v>
      </c>
      <c r="BS10" s="48">
        <v>2085</v>
      </c>
      <c r="BT10" s="48">
        <v>2086</v>
      </c>
      <c r="BU10" s="48">
        <v>2087</v>
      </c>
      <c r="BV10" s="48">
        <v>2088</v>
      </c>
      <c r="BW10" s="48">
        <v>2089</v>
      </c>
      <c r="BX10" s="48">
        <v>2090</v>
      </c>
      <c r="BY10" s="48">
        <v>2091</v>
      </c>
      <c r="BZ10" s="48">
        <v>2092</v>
      </c>
      <c r="CA10" s="48">
        <v>2093</v>
      </c>
      <c r="CB10" s="48">
        <v>2094</v>
      </c>
      <c r="CC10" s="48">
        <v>2095</v>
      </c>
      <c r="CD10" s="48">
        <v>2096</v>
      </c>
      <c r="CE10" s="48">
        <v>2097</v>
      </c>
      <c r="CF10" s="48">
        <v>2098</v>
      </c>
      <c r="CG10" s="48">
        <v>2099</v>
      </c>
      <c r="CH10" s="48">
        <v>2100</v>
      </c>
    </row>
    <row r="11" spans="1:86" s="47" customFormat="1" x14ac:dyDescent="0.25">
      <c r="A11" s="1"/>
      <c r="B11" s="1" t="s">
        <v>7</v>
      </c>
      <c r="C11" s="70">
        <f>'Raw IS'!O4</f>
        <v>23147</v>
      </c>
      <c r="D11" s="70">
        <f>'Raw IS'!P4</f>
        <v>22563</v>
      </c>
      <c r="E11" s="70">
        <f>'Raw IS'!Q4</f>
        <v>23315</v>
      </c>
      <c r="F11" s="70">
        <f>'Raw IS'!E5</f>
        <v>21852</v>
      </c>
      <c r="G11" s="70">
        <f>'Raw IS'!F5</f>
        <v>22202</v>
      </c>
      <c r="H11" s="70">
        <f>'Raw IS'!G5</f>
        <v>24911</v>
      </c>
      <c r="I11" s="80">
        <f>H11*(1+I12)</f>
        <v>24380</v>
      </c>
      <c r="J11" s="106">
        <f t="shared" ref="J11:R11" si="1">I11*(1+J12)</f>
        <v>24700</v>
      </c>
      <c r="K11" s="106">
        <f t="shared" si="1"/>
        <v>25070</v>
      </c>
      <c r="L11" s="106">
        <f t="shared" si="1"/>
        <v>24910</v>
      </c>
      <c r="M11" s="106">
        <f t="shared" si="1"/>
        <v>25600</v>
      </c>
      <c r="N11" s="106">
        <f t="shared" si="1"/>
        <v>26020</v>
      </c>
      <c r="O11" s="106">
        <f t="shared" si="1"/>
        <v>26430</v>
      </c>
      <c r="P11" s="106">
        <f t="shared" si="1"/>
        <v>26760.000000000004</v>
      </c>
      <c r="Q11" s="106">
        <f t="shared" si="1"/>
        <v>27120.000000000004</v>
      </c>
      <c r="R11" s="106">
        <f t="shared" si="1"/>
        <v>27520.000000000007</v>
      </c>
    </row>
    <row r="12" spans="1:86" s="47" customFormat="1" x14ac:dyDescent="0.25">
      <c r="A12" s="1"/>
      <c r="B12" s="59" t="s">
        <v>8</v>
      </c>
      <c r="C12" s="81"/>
      <c r="D12" s="81">
        <f>(D11/C11)-1</f>
        <v>-2.5230051410550014E-2</v>
      </c>
      <c r="E12" s="81">
        <f t="shared" ref="E12:H12" si="2">(E11/D11)-1</f>
        <v>3.3328901298586233E-2</v>
      </c>
      <c r="F12" s="81">
        <f t="shared" si="2"/>
        <v>-6.2749303023804437E-2</v>
      </c>
      <c r="G12" s="81">
        <f t="shared" si="2"/>
        <v>1.6016840563792822E-2</v>
      </c>
      <c r="H12" s="81">
        <f t="shared" si="2"/>
        <v>0.12201603459147825</v>
      </c>
      <c r="I12" s="114">
        <v>-2.1315884548994468E-2</v>
      </c>
      <c r="J12" s="107">
        <v>1.3125512715340459E-2</v>
      </c>
      <c r="K12" s="107">
        <v>1.4979757085020307E-2</v>
      </c>
      <c r="L12" s="107">
        <v>-6.3821300358994915E-3</v>
      </c>
      <c r="M12" s="107">
        <v>2.7699718988358102E-2</v>
      </c>
      <c r="N12" s="107">
        <v>1.6406249999999956E-2</v>
      </c>
      <c r="O12" s="107">
        <v>1.5757109915449652E-2</v>
      </c>
      <c r="P12" s="107">
        <v>1.2485811577752637E-2</v>
      </c>
      <c r="Q12" s="107">
        <v>1.3452914798206317E-2</v>
      </c>
      <c r="R12" s="107">
        <v>1.4749262536873253E-2</v>
      </c>
    </row>
    <row r="13" spans="1:86" s="47" customFormat="1" x14ac:dyDescent="0.25">
      <c r="A13" s="1"/>
      <c r="B13" s="6"/>
      <c r="C13" s="82"/>
      <c r="D13" s="82"/>
      <c r="E13" s="82"/>
      <c r="F13" s="82"/>
      <c r="G13" s="82"/>
      <c r="H13" s="82"/>
      <c r="I13" s="83"/>
      <c r="J13" s="108"/>
      <c r="K13" s="108"/>
      <c r="L13" s="108"/>
      <c r="M13" s="108"/>
      <c r="N13" s="108"/>
      <c r="O13" s="108"/>
      <c r="P13" s="108"/>
      <c r="Q13" s="108"/>
      <c r="R13" s="108"/>
    </row>
    <row r="14" spans="1:86" s="47" customFormat="1" x14ac:dyDescent="0.25">
      <c r="A14" s="1"/>
      <c r="B14" s="1" t="s">
        <v>9</v>
      </c>
      <c r="C14" s="70">
        <f>'Raw IS'!O5</f>
        <v>-14008</v>
      </c>
      <c r="D14" s="70">
        <f>'Raw IS'!P5</f>
        <v>-14117</v>
      </c>
      <c r="E14" s="70">
        <f>'Raw IS'!Q5</f>
        <v>-14989</v>
      </c>
      <c r="F14" s="70">
        <f>'Raw IS'!E6</f>
        <v>-13659</v>
      </c>
      <c r="G14" s="70">
        <f>'Raw IS'!F6</f>
        <v>-13368</v>
      </c>
      <c r="H14" s="70">
        <f>'Raw IS'!G6</f>
        <v>-14689</v>
      </c>
      <c r="I14" s="85">
        <f>I11-I16</f>
        <v>14554.859999999999</v>
      </c>
      <c r="J14" s="86">
        <f t="shared" ref="J14:K14" si="3">J11-J16</f>
        <v>14538.42</v>
      </c>
      <c r="K14" s="86">
        <f t="shared" si="3"/>
        <v>14540.6</v>
      </c>
      <c r="L14" s="86">
        <f t="shared" ref="L14:R14" si="4">L11-L16</f>
        <v>14435.345000000001</v>
      </c>
      <c r="M14" s="86">
        <f t="shared" si="4"/>
        <v>14848</v>
      </c>
      <c r="N14" s="86">
        <f t="shared" si="4"/>
        <v>15091.6</v>
      </c>
      <c r="O14" s="86">
        <f t="shared" si="4"/>
        <v>15329.4</v>
      </c>
      <c r="P14" s="86">
        <f t="shared" si="4"/>
        <v>15520.800000000003</v>
      </c>
      <c r="Q14" s="86">
        <f t="shared" si="4"/>
        <v>15729.600000000002</v>
      </c>
      <c r="R14" s="86">
        <f t="shared" si="4"/>
        <v>15961.600000000004</v>
      </c>
    </row>
    <row r="15" spans="1:86" s="47" customFormat="1" x14ac:dyDescent="0.25">
      <c r="A15" s="1"/>
      <c r="B15" s="15"/>
      <c r="C15" s="87"/>
      <c r="D15" s="87"/>
      <c r="E15" s="87"/>
      <c r="F15" s="87"/>
      <c r="G15" s="87"/>
      <c r="H15" s="87"/>
      <c r="I15" s="83"/>
      <c r="J15" s="108"/>
      <c r="K15" s="108"/>
      <c r="L15" s="108"/>
      <c r="M15" s="108"/>
      <c r="N15" s="108"/>
      <c r="O15" s="108"/>
      <c r="P15" s="108"/>
      <c r="Q15" s="108"/>
      <c r="R15" s="108"/>
    </row>
    <row r="16" spans="1:86" s="47" customFormat="1" x14ac:dyDescent="0.25">
      <c r="A16" s="1"/>
      <c r="B16" s="1" t="s">
        <v>10</v>
      </c>
      <c r="C16" s="70">
        <f>C11+C14</f>
        <v>9139</v>
      </c>
      <c r="D16" s="70">
        <f t="shared" ref="D16:H16" si="5">D11+D14</f>
        <v>8446</v>
      </c>
      <c r="E16" s="70">
        <f t="shared" si="5"/>
        <v>8326</v>
      </c>
      <c r="F16" s="70">
        <f t="shared" si="5"/>
        <v>8193</v>
      </c>
      <c r="G16" s="70">
        <f t="shared" si="5"/>
        <v>8834</v>
      </c>
      <c r="H16" s="70">
        <f t="shared" si="5"/>
        <v>10222</v>
      </c>
      <c r="I16" s="80">
        <f>I11*I17</f>
        <v>9825.1400000000012</v>
      </c>
      <c r="J16" s="106">
        <f t="shared" ref="J16:R16" si="6">J11*J17</f>
        <v>10161.58</v>
      </c>
      <c r="K16" s="106">
        <f t="shared" si="6"/>
        <v>10529.4</v>
      </c>
      <c r="L16" s="106">
        <f t="shared" si="6"/>
        <v>10474.654999999999</v>
      </c>
      <c r="M16" s="106">
        <f t="shared" si="6"/>
        <v>10752</v>
      </c>
      <c r="N16" s="106">
        <f t="shared" si="6"/>
        <v>10928.4</v>
      </c>
      <c r="O16" s="106">
        <f t="shared" si="6"/>
        <v>11100.6</v>
      </c>
      <c r="P16" s="106">
        <f t="shared" si="6"/>
        <v>11239.2</v>
      </c>
      <c r="Q16" s="106">
        <f t="shared" si="6"/>
        <v>11390.400000000001</v>
      </c>
      <c r="R16" s="106">
        <f t="shared" si="6"/>
        <v>11558.400000000003</v>
      </c>
    </row>
    <row r="17" spans="1:18" s="47" customFormat="1" x14ac:dyDescent="0.25">
      <c r="A17" s="1"/>
      <c r="B17" s="59" t="s">
        <v>11</v>
      </c>
      <c r="C17" s="81">
        <f t="shared" ref="C17:H17" si="7">C16/C11</f>
        <v>0.39482438328941116</v>
      </c>
      <c r="D17" s="81">
        <f t="shared" si="7"/>
        <v>0.3743296547444932</v>
      </c>
      <c r="E17" s="81">
        <f t="shared" si="7"/>
        <v>0.35710915719493885</v>
      </c>
      <c r="F17" s="81">
        <f t="shared" si="7"/>
        <v>0.37493135639758374</v>
      </c>
      <c r="G17" s="81">
        <f t="shared" si="7"/>
        <v>0.39789208179443292</v>
      </c>
      <c r="H17" s="81">
        <f t="shared" si="7"/>
        <v>0.4103408132953314</v>
      </c>
      <c r="I17" s="88">
        <v>0.40300000000000002</v>
      </c>
      <c r="J17" s="109">
        <v>0.41139999999999999</v>
      </c>
      <c r="K17" s="109">
        <v>0.42</v>
      </c>
      <c r="L17" s="109">
        <v>0.42049999999999998</v>
      </c>
      <c r="M17" s="109">
        <v>0.42</v>
      </c>
      <c r="N17" s="109">
        <v>0.42</v>
      </c>
      <c r="O17" s="109">
        <v>0.42</v>
      </c>
      <c r="P17" s="109">
        <v>0.42</v>
      </c>
      <c r="Q17" s="109">
        <v>0.42</v>
      </c>
      <c r="R17" s="109">
        <v>0.42</v>
      </c>
    </row>
    <row r="18" spans="1:18" s="47" customFormat="1" x14ac:dyDescent="0.25">
      <c r="A18" s="1"/>
      <c r="B18" s="6"/>
      <c r="C18" s="82"/>
      <c r="D18" s="82"/>
      <c r="E18" s="82"/>
      <c r="F18" s="82"/>
      <c r="G18" s="82"/>
      <c r="H18" s="82"/>
      <c r="I18" s="83"/>
      <c r="J18" s="108"/>
      <c r="K18" s="108"/>
      <c r="L18" s="108"/>
      <c r="M18" s="108"/>
      <c r="N18" s="108"/>
      <c r="O18" s="108"/>
      <c r="P18" s="108"/>
      <c r="Q18" s="108"/>
      <c r="R18" s="108"/>
    </row>
    <row r="19" spans="1:18" s="47" customFormat="1" x14ac:dyDescent="0.25">
      <c r="A19" s="1"/>
      <c r="B19" s="1" t="s">
        <v>12</v>
      </c>
      <c r="C19" s="70">
        <f>'Raw IS'!O7</f>
        <v>-4916</v>
      </c>
      <c r="D19" s="70">
        <f>'Raw IS'!P7</f>
        <v>-4620</v>
      </c>
      <c r="E19" s="70">
        <f>'Raw IS'!Q7</f>
        <v>-4411</v>
      </c>
      <c r="F19" s="70">
        <f>'Raw IS'!E8</f>
        <v>-4087</v>
      </c>
      <c r="G19" s="70">
        <f>'Raw IS'!F8</f>
        <v>-4214</v>
      </c>
      <c r="H19" s="70">
        <f>'Raw IS'!G8</f>
        <v>-4550</v>
      </c>
      <c r="I19" s="80">
        <f>I20*I11</f>
        <v>-4315.26</v>
      </c>
      <c r="J19" s="106">
        <f t="shared" ref="J19:R19" si="8">J20*J11</f>
        <v>-4371.8999999999996</v>
      </c>
      <c r="K19" s="106">
        <f t="shared" si="8"/>
        <v>-4437.3899999999994</v>
      </c>
      <c r="L19" s="106">
        <f t="shared" si="8"/>
        <v>-4334.34</v>
      </c>
      <c r="M19" s="106">
        <f t="shared" si="8"/>
        <v>-4377.6000000000004</v>
      </c>
      <c r="N19" s="106">
        <f t="shared" si="8"/>
        <v>-4449.42</v>
      </c>
      <c r="O19" s="106">
        <f t="shared" si="8"/>
        <v>-4519.5300000000007</v>
      </c>
      <c r="P19" s="106">
        <f t="shared" si="8"/>
        <v>-4575.9600000000009</v>
      </c>
      <c r="Q19" s="106">
        <f t="shared" si="8"/>
        <v>-4637.5200000000013</v>
      </c>
      <c r="R19" s="106">
        <f t="shared" si="8"/>
        <v>-4705.9200000000019</v>
      </c>
    </row>
    <row r="20" spans="1:18" s="47" customFormat="1" x14ac:dyDescent="0.25">
      <c r="A20" s="1"/>
      <c r="B20" s="59" t="s">
        <v>19</v>
      </c>
      <c r="C20" s="81">
        <f>C19/C11</f>
        <v>-0.21238173413401304</v>
      </c>
      <c r="D20" s="81">
        <f t="shared" ref="D20:H20" si="9">D19/D11</f>
        <v>-0.20476000531844168</v>
      </c>
      <c r="E20" s="81">
        <f t="shared" si="9"/>
        <v>-0.18919150761312459</v>
      </c>
      <c r="F20" s="81">
        <f t="shared" si="9"/>
        <v>-0.18703093538348892</v>
      </c>
      <c r="G20" s="81">
        <f t="shared" si="9"/>
        <v>-0.18980272047563282</v>
      </c>
      <c r="H20" s="81">
        <f t="shared" si="9"/>
        <v>-0.18265023483601622</v>
      </c>
      <c r="I20" s="89">
        <v>-0.17699999999999999</v>
      </c>
      <c r="J20" s="94">
        <v>-0.17699999999999999</v>
      </c>
      <c r="K20" s="94">
        <v>-0.17699999999999999</v>
      </c>
      <c r="L20" s="94">
        <v>-0.17399999999999999</v>
      </c>
      <c r="M20" s="94">
        <v>-0.17100000000000001</v>
      </c>
      <c r="N20" s="94">
        <v>-0.17100000000000001</v>
      </c>
      <c r="O20" s="94">
        <v>-0.17100000000000001</v>
      </c>
      <c r="P20" s="94">
        <v>-0.17100000000000001</v>
      </c>
      <c r="Q20" s="94">
        <v>-0.17100000000000001</v>
      </c>
      <c r="R20" s="94">
        <v>-0.17100000000000001</v>
      </c>
    </row>
    <row r="21" spans="1:18" s="47" customFormat="1" x14ac:dyDescent="0.25">
      <c r="A21" s="1"/>
      <c r="B21" s="1"/>
      <c r="C21" s="70"/>
      <c r="D21" s="70"/>
      <c r="E21" s="70"/>
      <c r="F21" s="70"/>
      <c r="G21" s="70"/>
      <c r="H21" s="70"/>
      <c r="I21" s="80"/>
      <c r="J21" s="106"/>
      <c r="K21" s="106"/>
      <c r="L21" s="106"/>
      <c r="M21" s="106"/>
      <c r="N21" s="106"/>
      <c r="O21" s="106"/>
      <c r="P21" s="106"/>
      <c r="Q21" s="106"/>
      <c r="R21" s="106"/>
    </row>
    <row r="22" spans="1:18" s="47" customFormat="1" x14ac:dyDescent="0.25">
      <c r="A22" s="1"/>
      <c r="B22" s="1" t="s">
        <v>53</v>
      </c>
      <c r="C22" s="70">
        <f>'Raw IS'!O8</f>
        <v>-3615</v>
      </c>
      <c r="D22" s="70">
        <f>'Raw IS'!P8</f>
        <v>-3463</v>
      </c>
      <c r="E22" s="70">
        <f>'Raw IS'!Q8</f>
        <v>-3101</v>
      </c>
      <c r="F22" s="70">
        <f>'Raw IS'!E9</f>
        <v>-2898</v>
      </c>
      <c r="G22" s="70">
        <f>'Raw IS'!F9</f>
        <v>-2792</v>
      </c>
      <c r="H22" s="70">
        <f>'Raw IS'!G9</f>
        <v>-3013</v>
      </c>
      <c r="I22" s="80">
        <f>I23*I11</f>
        <v>-2754.94</v>
      </c>
      <c r="J22" s="106">
        <f t="shared" ref="J22:R22" si="10">J23*J11</f>
        <v>-2791.1</v>
      </c>
      <c r="K22" s="106">
        <f t="shared" si="10"/>
        <v>-2832.91</v>
      </c>
      <c r="L22" s="106">
        <f t="shared" si="10"/>
        <v>-2740.1</v>
      </c>
      <c r="M22" s="106">
        <f t="shared" si="10"/>
        <v>-2816</v>
      </c>
      <c r="N22" s="106">
        <f t="shared" si="10"/>
        <v>-2862.2</v>
      </c>
      <c r="O22" s="106">
        <f t="shared" si="10"/>
        <v>-2907.3</v>
      </c>
      <c r="P22" s="106">
        <f t="shared" si="10"/>
        <v>-2943.6000000000004</v>
      </c>
      <c r="Q22" s="106">
        <f t="shared" si="10"/>
        <v>-2983.2000000000003</v>
      </c>
      <c r="R22" s="106">
        <f t="shared" si="10"/>
        <v>-3027.2000000000007</v>
      </c>
    </row>
    <row r="23" spans="1:18" s="47" customFormat="1" x14ac:dyDescent="0.25">
      <c r="A23" s="1"/>
      <c r="B23" s="59" t="s">
        <v>19</v>
      </c>
      <c r="C23" s="81">
        <f>C22/C11</f>
        <v>-0.15617574631701733</v>
      </c>
      <c r="D23" s="81">
        <f t="shared" ref="D23:H23" si="11">D22/D11</f>
        <v>-0.15348136329388823</v>
      </c>
      <c r="E23" s="81">
        <f t="shared" si="11"/>
        <v>-0.13300450353849452</v>
      </c>
      <c r="F23" s="81">
        <f t="shared" si="11"/>
        <v>-0.13261943986820429</v>
      </c>
      <c r="G23" s="81">
        <f t="shared" si="11"/>
        <v>-0.12575443653724891</v>
      </c>
      <c r="H23" s="81">
        <f t="shared" si="11"/>
        <v>-0.12095058407932238</v>
      </c>
      <c r="I23" s="89">
        <v>-0.113</v>
      </c>
      <c r="J23" s="94">
        <v>-0.113</v>
      </c>
      <c r="K23" s="94">
        <v>-0.113</v>
      </c>
      <c r="L23" s="94">
        <v>-0.11</v>
      </c>
      <c r="M23" s="94">
        <v>-0.11</v>
      </c>
      <c r="N23" s="94">
        <v>-0.11</v>
      </c>
      <c r="O23" s="94">
        <v>-0.11</v>
      </c>
      <c r="P23" s="94">
        <v>-0.11</v>
      </c>
      <c r="Q23" s="94">
        <v>-0.11</v>
      </c>
      <c r="R23" s="94">
        <v>-0.11</v>
      </c>
    </row>
    <row r="24" spans="1:18" s="47" customFormat="1" x14ac:dyDescent="0.25">
      <c r="A24" s="1"/>
      <c r="B24" s="1"/>
      <c r="C24" s="90"/>
      <c r="D24" s="90"/>
      <c r="E24" s="90"/>
      <c r="F24" s="90"/>
      <c r="G24" s="90"/>
      <c r="H24" s="90"/>
      <c r="I24" s="91"/>
      <c r="J24" s="106"/>
      <c r="K24" s="106"/>
      <c r="L24" s="106"/>
      <c r="M24" s="106"/>
      <c r="N24" s="106"/>
      <c r="O24" s="106"/>
      <c r="P24" s="106"/>
      <c r="Q24" s="106"/>
      <c r="R24" s="106"/>
    </row>
    <row r="25" spans="1:18" s="47" customFormat="1" x14ac:dyDescent="0.25">
      <c r="A25" s="1"/>
      <c r="B25" s="1" t="s">
        <v>13</v>
      </c>
      <c r="C25" s="70">
        <f>SUM('Raw IS'!O9:O10)</f>
        <v>-592</v>
      </c>
      <c r="D25" s="70">
        <f>SUM('Raw IS'!P9:P10)</f>
        <v>-422</v>
      </c>
      <c r="E25" s="70">
        <f>SUM('Raw IS'!Q9:Q10)</f>
        <v>-329</v>
      </c>
      <c r="F25" s="70">
        <f>SUM('Raw IS'!E10:E11)</f>
        <v>-323</v>
      </c>
      <c r="G25" s="70">
        <f>SUM('Raw IS'!F10:F11)</f>
        <v>330</v>
      </c>
      <c r="H25" s="70">
        <f>SUM('Raw IS'!G10:G11)</f>
        <v>-341</v>
      </c>
      <c r="I25" s="92">
        <f>I26*I11</f>
        <v>-121.9</v>
      </c>
      <c r="J25" s="110">
        <f t="shared" ref="J25:R25" si="12">J26*J11</f>
        <v>-123.5</v>
      </c>
      <c r="K25" s="110">
        <f t="shared" si="12"/>
        <v>-125.35000000000001</v>
      </c>
      <c r="L25" s="110">
        <f t="shared" si="12"/>
        <v>-124.55</v>
      </c>
      <c r="M25" s="110">
        <f t="shared" si="12"/>
        <v>-128</v>
      </c>
      <c r="N25" s="110">
        <f t="shared" si="12"/>
        <v>-130.1</v>
      </c>
      <c r="O25" s="110">
        <f t="shared" si="12"/>
        <v>-132.15</v>
      </c>
      <c r="P25" s="110">
        <f t="shared" si="12"/>
        <v>-133.80000000000001</v>
      </c>
      <c r="Q25" s="110">
        <f t="shared" si="12"/>
        <v>-135.60000000000002</v>
      </c>
      <c r="R25" s="110">
        <f t="shared" si="12"/>
        <v>-137.60000000000005</v>
      </c>
    </row>
    <row r="26" spans="1:18" s="47" customFormat="1" x14ac:dyDescent="0.25">
      <c r="A26" s="1"/>
      <c r="B26" s="59" t="s">
        <v>19</v>
      </c>
      <c r="C26" s="81">
        <f>C25/C11</f>
        <v>-2.5575668553160236E-2</v>
      </c>
      <c r="D26" s="81">
        <f t="shared" ref="D26:H26" si="13">D25/D11</f>
        <v>-1.8703186632983204E-2</v>
      </c>
      <c r="E26" s="81">
        <f t="shared" si="13"/>
        <v>-1.4111087282865108E-2</v>
      </c>
      <c r="F26" s="81">
        <f t="shared" si="13"/>
        <v>-1.4781255720300202E-2</v>
      </c>
      <c r="G26" s="81">
        <f t="shared" si="13"/>
        <v>1.4863525808485722E-2</v>
      </c>
      <c r="H26" s="81">
        <f t="shared" si="13"/>
        <v>-1.3688731885512425E-2</v>
      </c>
      <c r="I26" s="89">
        <v>-5.0000000000000001E-3</v>
      </c>
      <c r="J26" s="94">
        <v>-5.0000000000000001E-3</v>
      </c>
      <c r="K26" s="94">
        <v>-5.0000000000000001E-3</v>
      </c>
      <c r="L26" s="94">
        <v>-5.0000000000000001E-3</v>
      </c>
      <c r="M26" s="94">
        <v>-5.0000000000000001E-3</v>
      </c>
      <c r="N26" s="94">
        <v>-5.0000000000000001E-3</v>
      </c>
      <c r="O26" s="94">
        <v>-5.0000000000000001E-3</v>
      </c>
      <c r="P26" s="94">
        <v>-5.0000000000000001E-3</v>
      </c>
      <c r="Q26" s="94">
        <v>-5.0000000000000001E-3</v>
      </c>
      <c r="R26" s="94">
        <v>-5.0000000000000001E-3</v>
      </c>
    </row>
    <row r="27" spans="1:18" s="47" customFormat="1" x14ac:dyDescent="0.25">
      <c r="A27" s="1"/>
      <c r="B27" s="1"/>
      <c r="C27" s="70"/>
      <c r="D27" s="70"/>
      <c r="E27" s="70"/>
      <c r="F27" s="70"/>
      <c r="G27" s="70"/>
      <c r="H27" s="70"/>
      <c r="I27" s="92"/>
      <c r="J27" s="110"/>
      <c r="K27" s="110"/>
      <c r="L27" s="110"/>
      <c r="M27" s="110"/>
      <c r="N27" s="110"/>
      <c r="O27" s="110"/>
      <c r="P27" s="110"/>
      <c r="Q27" s="110"/>
      <c r="R27" s="110"/>
    </row>
    <row r="28" spans="1:18" s="47" customFormat="1" x14ac:dyDescent="0.25">
      <c r="A28" s="1"/>
      <c r="B28" s="1" t="s">
        <v>14</v>
      </c>
      <c r="C28" s="70">
        <f>C19+C22+C25</f>
        <v>-9123</v>
      </c>
      <c r="D28" s="70">
        <f t="shared" ref="D28:H28" si="14">D19+D22+D25</f>
        <v>-8505</v>
      </c>
      <c r="E28" s="70">
        <f t="shared" si="14"/>
        <v>-7841</v>
      </c>
      <c r="F28" s="70">
        <f t="shared" si="14"/>
        <v>-7308</v>
      </c>
      <c r="G28" s="70">
        <f t="shared" si="14"/>
        <v>-6676</v>
      </c>
      <c r="H28" s="70">
        <f t="shared" si="14"/>
        <v>-7904</v>
      </c>
      <c r="I28" s="92">
        <f t="shared" ref="I28:R28" si="15">I19+I22+I25</f>
        <v>-7192.1</v>
      </c>
      <c r="J28" s="110">
        <f t="shared" si="15"/>
        <v>-7286.5</v>
      </c>
      <c r="K28" s="110">
        <f t="shared" si="15"/>
        <v>-7395.65</v>
      </c>
      <c r="L28" s="110">
        <f t="shared" si="15"/>
        <v>-7198.9900000000007</v>
      </c>
      <c r="M28" s="110">
        <f t="shared" si="15"/>
        <v>-7321.6</v>
      </c>
      <c r="N28" s="110">
        <f t="shared" si="15"/>
        <v>-7441.72</v>
      </c>
      <c r="O28" s="110">
        <f t="shared" si="15"/>
        <v>-7558.9800000000005</v>
      </c>
      <c r="P28" s="110">
        <f t="shared" si="15"/>
        <v>-7653.3600000000015</v>
      </c>
      <c r="Q28" s="110">
        <f t="shared" si="15"/>
        <v>-7756.3200000000015</v>
      </c>
      <c r="R28" s="110">
        <f t="shared" si="15"/>
        <v>-7870.720000000003</v>
      </c>
    </row>
    <row r="29" spans="1:18" s="47" customFormat="1" x14ac:dyDescent="0.25">
      <c r="A29" s="1"/>
      <c r="B29" s="59" t="s">
        <v>19</v>
      </c>
      <c r="C29" s="81">
        <f t="shared" ref="C29:R29" si="16">C28/C11</f>
        <v>-0.39413314900419061</v>
      </c>
      <c r="D29" s="81">
        <f t="shared" si="16"/>
        <v>-0.37694455524531312</v>
      </c>
      <c r="E29" s="81">
        <f t="shared" si="16"/>
        <v>-0.33630709843448425</v>
      </c>
      <c r="F29" s="81">
        <f t="shared" si="16"/>
        <v>-0.33443163097199341</v>
      </c>
      <c r="G29" s="81">
        <f t="shared" si="16"/>
        <v>-0.30069363120439602</v>
      </c>
      <c r="H29" s="81">
        <f t="shared" si="16"/>
        <v>-0.31728955080085103</v>
      </c>
      <c r="I29" s="89">
        <f t="shared" si="16"/>
        <v>-0.29500000000000004</v>
      </c>
      <c r="J29" s="94">
        <f t="shared" si="16"/>
        <v>-0.29499999999999998</v>
      </c>
      <c r="K29" s="94">
        <f t="shared" si="16"/>
        <v>-0.29499999999999998</v>
      </c>
      <c r="L29" s="94">
        <f t="shared" si="16"/>
        <v>-0.28900000000000003</v>
      </c>
      <c r="M29" s="94">
        <f t="shared" si="16"/>
        <v>-0.28600000000000003</v>
      </c>
      <c r="N29" s="94">
        <f t="shared" si="16"/>
        <v>-0.28600000000000003</v>
      </c>
      <c r="O29" s="94">
        <f t="shared" si="16"/>
        <v>-0.28600000000000003</v>
      </c>
      <c r="P29" s="94">
        <f t="shared" si="16"/>
        <v>-0.28600000000000003</v>
      </c>
      <c r="Q29" s="94">
        <f t="shared" si="16"/>
        <v>-0.28600000000000003</v>
      </c>
      <c r="R29" s="94">
        <f t="shared" si="16"/>
        <v>-0.28600000000000003</v>
      </c>
    </row>
    <row r="30" spans="1:18" s="47" customFormat="1" x14ac:dyDescent="0.25">
      <c r="A30" s="1"/>
      <c r="B30" s="1"/>
      <c r="C30" s="95"/>
      <c r="D30" s="95"/>
      <c r="E30" s="95"/>
      <c r="F30" s="95"/>
      <c r="G30" s="95"/>
      <c r="H30" s="95"/>
      <c r="I30" s="96"/>
      <c r="J30" s="97"/>
      <c r="K30" s="97"/>
      <c r="L30" s="97"/>
      <c r="M30" s="97"/>
      <c r="N30" s="97"/>
      <c r="O30" s="97"/>
      <c r="P30" s="97"/>
      <c r="Q30" s="97"/>
      <c r="R30" s="97"/>
    </row>
    <row r="31" spans="1:18" s="47" customFormat="1" x14ac:dyDescent="0.25">
      <c r="A31" s="1"/>
      <c r="B31" s="1" t="s">
        <v>15</v>
      </c>
      <c r="C31" s="70">
        <f>C16+C28</f>
        <v>16</v>
      </c>
      <c r="D31" s="70">
        <f t="shared" ref="D31:R31" si="17">D16+D28</f>
        <v>-59</v>
      </c>
      <c r="E31" s="70">
        <f t="shared" si="17"/>
        <v>485</v>
      </c>
      <c r="F31" s="70">
        <f t="shared" si="17"/>
        <v>885</v>
      </c>
      <c r="G31" s="70">
        <f t="shared" si="17"/>
        <v>2158</v>
      </c>
      <c r="H31" s="70">
        <f t="shared" si="17"/>
        <v>2318</v>
      </c>
      <c r="I31" s="115">
        <f t="shared" si="17"/>
        <v>2633.0400000000009</v>
      </c>
      <c r="J31" s="111">
        <f t="shared" si="17"/>
        <v>2875.08</v>
      </c>
      <c r="K31" s="111">
        <f t="shared" si="17"/>
        <v>3133.75</v>
      </c>
      <c r="L31" s="111">
        <f t="shared" si="17"/>
        <v>3275.6649999999981</v>
      </c>
      <c r="M31" s="111">
        <f t="shared" si="17"/>
        <v>3430.3999999999996</v>
      </c>
      <c r="N31" s="111">
        <f t="shared" si="17"/>
        <v>3486.6799999999994</v>
      </c>
      <c r="O31" s="111">
        <f t="shared" si="17"/>
        <v>3541.62</v>
      </c>
      <c r="P31" s="111">
        <f t="shared" si="17"/>
        <v>3585.8399999999992</v>
      </c>
      <c r="Q31" s="111">
        <f t="shared" si="17"/>
        <v>3634.08</v>
      </c>
      <c r="R31" s="111">
        <f t="shared" si="17"/>
        <v>3687.6800000000003</v>
      </c>
    </row>
    <row r="32" spans="1:18" s="47" customFormat="1" x14ac:dyDescent="0.25">
      <c r="A32" s="1"/>
      <c r="B32" s="1" t="s">
        <v>16</v>
      </c>
      <c r="C32" s="98">
        <f>SUM('Raw IS'!O12:O13)</f>
        <v>-526</v>
      </c>
      <c r="D32" s="98">
        <f>SUM('Raw IS'!P12:P13)</f>
        <v>-301</v>
      </c>
      <c r="E32" s="98">
        <f>SUM('Raw IS'!Q12:Q13)</f>
        <v>-329</v>
      </c>
      <c r="F32" s="98">
        <f>SUM('Raw IS'!E13:E15)</f>
        <v>-142</v>
      </c>
      <c r="G32" s="98">
        <f>SUM('Raw IS'!F13:F15)</f>
        <v>-232</v>
      </c>
      <c r="H32" s="98">
        <f>SUM('Raw IS'!G13:G15)</f>
        <v>-134</v>
      </c>
      <c r="I32" s="80">
        <f>I33*I11</f>
        <v>-121.9</v>
      </c>
      <c r="J32" s="106">
        <f t="shared" ref="J32:R32" si="18">J33*J11</f>
        <v>-148.20000000000002</v>
      </c>
      <c r="K32" s="106">
        <f t="shared" si="18"/>
        <v>-225.63</v>
      </c>
      <c r="L32" s="106">
        <f t="shared" si="18"/>
        <v>-274.01</v>
      </c>
      <c r="M32" s="106">
        <f t="shared" si="18"/>
        <v>-281.59999999999997</v>
      </c>
      <c r="N32" s="106">
        <f t="shared" si="18"/>
        <v>-286.21999999999997</v>
      </c>
      <c r="O32" s="106">
        <f t="shared" si="18"/>
        <v>-290.72999999999996</v>
      </c>
      <c r="P32" s="106">
        <f t="shared" si="18"/>
        <v>-294.36</v>
      </c>
      <c r="Q32" s="106">
        <f t="shared" si="18"/>
        <v>-298.32000000000005</v>
      </c>
      <c r="R32" s="106">
        <f t="shared" si="18"/>
        <v>-302.72000000000008</v>
      </c>
    </row>
    <row r="33" spans="1:86" s="47" customFormat="1" x14ac:dyDescent="0.25">
      <c r="A33" s="1"/>
      <c r="B33" s="59" t="s">
        <v>19</v>
      </c>
      <c r="C33" s="81">
        <f>C32/C11</f>
        <v>-2.272432712662548E-2</v>
      </c>
      <c r="D33" s="81">
        <f t="shared" ref="D33:H33" si="19">D32/D11</f>
        <v>-1.3340424588928777E-2</v>
      </c>
      <c r="E33" s="81">
        <f t="shared" si="19"/>
        <v>-1.4111087282865108E-2</v>
      </c>
      <c r="F33" s="81">
        <f t="shared" si="19"/>
        <v>-6.4982610287387882E-3</v>
      </c>
      <c r="G33" s="81">
        <f t="shared" si="19"/>
        <v>-1.0449509053238448E-2</v>
      </c>
      <c r="H33" s="81">
        <f t="shared" si="19"/>
        <v>-5.3791497731925653E-3</v>
      </c>
      <c r="I33" s="88">
        <v>-5.0000000000000001E-3</v>
      </c>
      <c r="J33" s="109">
        <v>-6.0000000000000001E-3</v>
      </c>
      <c r="K33" s="109">
        <v>-8.9999999999999993E-3</v>
      </c>
      <c r="L33" s="109">
        <v>-1.0999999999999999E-2</v>
      </c>
      <c r="M33" s="109">
        <v>-1.0999999999999999E-2</v>
      </c>
      <c r="N33" s="109">
        <v>-1.0999999999999999E-2</v>
      </c>
      <c r="O33" s="109">
        <v>-1.0999999999999999E-2</v>
      </c>
      <c r="P33" s="109">
        <v>-1.0999999999999999E-2</v>
      </c>
      <c r="Q33" s="109">
        <v>-1.0999999999999999E-2</v>
      </c>
      <c r="R33" s="109">
        <v>-1.0999999999999999E-2</v>
      </c>
    </row>
    <row r="34" spans="1:86" s="47" customFormat="1" x14ac:dyDescent="0.25">
      <c r="A34" s="1"/>
      <c r="B34" s="1"/>
      <c r="C34" s="99"/>
      <c r="D34" s="99"/>
      <c r="E34" s="99"/>
      <c r="F34" s="99"/>
      <c r="G34" s="99"/>
      <c r="H34" s="99"/>
      <c r="I34" s="83"/>
      <c r="J34" s="108"/>
      <c r="K34" s="108"/>
      <c r="L34" s="108"/>
      <c r="M34" s="108"/>
      <c r="N34" s="108"/>
      <c r="O34" s="108"/>
      <c r="P34" s="108"/>
      <c r="Q34" s="108"/>
      <c r="R34" s="108"/>
    </row>
    <row r="35" spans="1:86" s="47" customFormat="1" x14ac:dyDescent="0.25">
      <c r="A35" s="1"/>
      <c r="B35" s="1" t="s">
        <v>17</v>
      </c>
      <c r="C35" s="70">
        <f>C31+C32</f>
        <v>-510</v>
      </c>
      <c r="D35" s="70">
        <f t="shared" ref="D35:H35" si="20">D31+D32</f>
        <v>-360</v>
      </c>
      <c r="E35" s="70">
        <f t="shared" si="20"/>
        <v>156</v>
      </c>
      <c r="F35" s="70">
        <f t="shared" si="20"/>
        <v>743</v>
      </c>
      <c r="G35" s="70">
        <f t="shared" si="20"/>
        <v>1926</v>
      </c>
      <c r="H35" s="70">
        <f t="shared" si="20"/>
        <v>2184</v>
      </c>
      <c r="I35" s="92">
        <f t="shared" ref="I35:R35" si="21">I31+I32</f>
        <v>2511.1400000000008</v>
      </c>
      <c r="J35" s="110">
        <f t="shared" si="21"/>
        <v>2726.88</v>
      </c>
      <c r="K35" s="110">
        <f t="shared" si="21"/>
        <v>2908.12</v>
      </c>
      <c r="L35" s="110">
        <f t="shared" si="21"/>
        <v>3001.6549999999979</v>
      </c>
      <c r="M35" s="110">
        <f t="shared" si="21"/>
        <v>3148.7999999999997</v>
      </c>
      <c r="N35" s="110">
        <f t="shared" si="21"/>
        <v>3200.4599999999996</v>
      </c>
      <c r="O35" s="110">
        <f t="shared" si="21"/>
        <v>3250.89</v>
      </c>
      <c r="P35" s="110">
        <f t="shared" si="21"/>
        <v>3291.4799999999991</v>
      </c>
      <c r="Q35" s="110">
        <f t="shared" si="21"/>
        <v>3335.7599999999998</v>
      </c>
      <c r="R35" s="110">
        <f t="shared" si="21"/>
        <v>3384.96</v>
      </c>
    </row>
    <row r="36" spans="1:86" s="47" customFormat="1" x14ac:dyDescent="0.25">
      <c r="A36" s="1"/>
      <c r="B36" s="1"/>
      <c r="C36" s="99"/>
      <c r="D36" s="99"/>
      <c r="E36" s="99"/>
      <c r="F36" s="99"/>
      <c r="G36" s="99"/>
      <c r="H36" s="99"/>
      <c r="I36" s="83"/>
      <c r="J36" s="108"/>
      <c r="K36" s="108"/>
      <c r="L36" s="108"/>
      <c r="M36" s="108"/>
      <c r="N36" s="108"/>
      <c r="O36" s="108"/>
      <c r="P36" s="108"/>
      <c r="Q36" s="108"/>
      <c r="R36" s="108"/>
    </row>
    <row r="37" spans="1:86" s="47" customFormat="1" x14ac:dyDescent="0.25">
      <c r="A37" s="1"/>
      <c r="B37" s="1" t="s">
        <v>18</v>
      </c>
      <c r="C37" s="70">
        <f t="shared" ref="C37:G37" si="22">C31</f>
        <v>16</v>
      </c>
      <c r="D37" s="70">
        <f t="shared" si="22"/>
        <v>-59</v>
      </c>
      <c r="E37" s="70">
        <f t="shared" si="22"/>
        <v>485</v>
      </c>
      <c r="F37" s="70">
        <f t="shared" si="22"/>
        <v>885</v>
      </c>
      <c r="G37" s="70">
        <f t="shared" si="22"/>
        <v>2158</v>
      </c>
      <c r="H37" s="70">
        <f>H31</f>
        <v>2318</v>
      </c>
      <c r="I37" s="92">
        <f t="shared" ref="I37:R37" si="23">I31</f>
        <v>2633.0400000000009</v>
      </c>
      <c r="J37" s="110">
        <f t="shared" si="23"/>
        <v>2875.08</v>
      </c>
      <c r="K37" s="110">
        <f t="shared" si="23"/>
        <v>3133.75</v>
      </c>
      <c r="L37" s="110">
        <f t="shared" si="23"/>
        <v>3275.6649999999981</v>
      </c>
      <c r="M37" s="110">
        <f t="shared" si="23"/>
        <v>3430.3999999999996</v>
      </c>
      <c r="N37" s="110">
        <f t="shared" si="23"/>
        <v>3486.6799999999994</v>
      </c>
      <c r="O37" s="110">
        <f t="shared" si="23"/>
        <v>3541.62</v>
      </c>
      <c r="P37" s="110">
        <f t="shared" si="23"/>
        <v>3585.8399999999992</v>
      </c>
      <c r="Q37" s="110">
        <f t="shared" si="23"/>
        <v>3634.08</v>
      </c>
      <c r="R37" s="110">
        <f t="shared" si="23"/>
        <v>3687.6800000000003</v>
      </c>
    </row>
    <row r="38" spans="1:86" s="47" customFormat="1" x14ac:dyDescent="0.25">
      <c r="A38" s="1"/>
      <c r="B38" s="59" t="s">
        <v>19</v>
      </c>
      <c r="C38" s="81">
        <f t="shared" ref="C38:R38" si="24">C37/C11</f>
        <v>6.9123428522054693E-4</v>
      </c>
      <c r="D38" s="81">
        <f t="shared" si="24"/>
        <v>-2.6149005008199266E-3</v>
      </c>
      <c r="E38" s="81">
        <f t="shared" si="24"/>
        <v>2.0802058760454642E-2</v>
      </c>
      <c r="F38" s="81">
        <f t="shared" si="24"/>
        <v>4.0499725425590334E-2</v>
      </c>
      <c r="G38" s="81">
        <f t="shared" si="24"/>
        <v>9.7198450590036928E-2</v>
      </c>
      <c r="H38" s="81">
        <f t="shared" si="24"/>
        <v>9.3051262494480355E-2</v>
      </c>
      <c r="I38" s="89">
        <f t="shared" si="24"/>
        <v>0.10800000000000004</v>
      </c>
      <c r="J38" s="94">
        <f t="shared" si="24"/>
        <v>0.1164</v>
      </c>
      <c r="K38" s="94">
        <f t="shared" si="24"/>
        <v>0.125</v>
      </c>
      <c r="L38" s="94">
        <f t="shared" si="24"/>
        <v>0.13149999999999992</v>
      </c>
      <c r="M38" s="94">
        <f t="shared" si="24"/>
        <v>0.13399999999999998</v>
      </c>
      <c r="N38" s="94">
        <f t="shared" si="24"/>
        <v>0.13399999999999998</v>
      </c>
      <c r="O38" s="94">
        <f t="shared" si="24"/>
        <v>0.13400000000000001</v>
      </c>
      <c r="P38" s="94">
        <f t="shared" si="24"/>
        <v>0.13399999999999995</v>
      </c>
      <c r="Q38" s="94">
        <f t="shared" si="24"/>
        <v>0.13399999999999998</v>
      </c>
      <c r="R38" s="94">
        <f t="shared" si="24"/>
        <v>0.13399999999999998</v>
      </c>
    </row>
    <row r="39" spans="1:86" s="47" customFormat="1" x14ac:dyDescent="0.25">
      <c r="A39" s="1"/>
      <c r="B39" s="12"/>
      <c r="C39" s="82"/>
      <c r="D39" s="82"/>
      <c r="E39" s="82"/>
      <c r="F39" s="84"/>
      <c r="G39" s="82"/>
      <c r="H39" s="82"/>
      <c r="I39" s="83"/>
      <c r="J39" s="108"/>
      <c r="K39" s="108"/>
      <c r="L39" s="108"/>
      <c r="M39" s="108"/>
      <c r="N39" s="108"/>
      <c r="O39" s="108"/>
      <c r="P39" s="108"/>
      <c r="Q39" s="108"/>
      <c r="R39" s="108"/>
    </row>
    <row r="40" spans="1:86" s="47" customFormat="1" x14ac:dyDescent="0.25">
      <c r="A40" s="1"/>
      <c r="B40" s="1" t="s">
        <v>20</v>
      </c>
      <c r="C40" s="100">
        <f>'Raw IS'!O15</f>
        <v>-927</v>
      </c>
      <c r="D40" s="100">
        <f>'Raw IS'!P15</f>
        <v>-189</v>
      </c>
      <c r="E40" s="100">
        <f>'Raw IS'!Q15</f>
        <v>-138</v>
      </c>
      <c r="F40" s="93">
        <f>'Raw IS'!E17</f>
        <v>-3256</v>
      </c>
      <c r="G40" s="93">
        <f>'Raw IS'!F17</f>
        <v>-272</v>
      </c>
      <c r="H40" s="93">
        <f>'Raw IS'!G17</f>
        <v>2026</v>
      </c>
      <c r="I40" s="80">
        <f>I41*I37</f>
        <v>-665.89581600000031</v>
      </c>
      <c r="J40" s="106">
        <f t="shared" ref="J40:R40" si="25">J41*J37</f>
        <v>-715.31990399999995</v>
      </c>
      <c r="K40" s="106">
        <f t="shared" si="25"/>
        <v>-775.60312499999998</v>
      </c>
      <c r="L40" s="106">
        <f t="shared" si="25"/>
        <v>-818.91624999999954</v>
      </c>
      <c r="M40" s="106">
        <f t="shared" si="25"/>
        <v>-857.59999999999991</v>
      </c>
      <c r="N40" s="106">
        <f t="shared" si="25"/>
        <v>-871.66999999999985</v>
      </c>
      <c r="O40" s="106">
        <f t="shared" si="25"/>
        <v>-885.40499999999997</v>
      </c>
      <c r="P40" s="106">
        <f t="shared" si="25"/>
        <v>-896.45999999999981</v>
      </c>
      <c r="Q40" s="106">
        <f t="shared" si="25"/>
        <v>-908.52</v>
      </c>
      <c r="R40" s="106">
        <f t="shared" si="25"/>
        <v>-921.92000000000007</v>
      </c>
    </row>
    <row r="41" spans="1:86" s="47" customFormat="1" x14ac:dyDescent="0.25">
      <c r="A41" s="1"/>
      <c r="B41" s="59" t="s">
        <v>21</v>
      </c>
      <c r="C41" s="81">
        <f>C40/C37</f>
        <v>-57.9375</v>
      </c>
      <c r="D41" s="81">
        <f>D40/D37</f>
        <v>3.2033898305084745</v>
      </c>
      <c r="E41" s="81">
        <f t="shared" ref="E41:H41" si="26">E40/E37</f>
        <v>-0.28453608247422679</v>
      </c>
      <c r="F41" s="81">
        <f t="shared" si="26"/>
        <v>-3.6790960451977401</v>
      </c>
      <c r="G41" s="81">
        <f t="shared" si="26"/>
        <v>-0.12604263206672844</v>
      </c>
      <c r="H41" s="81">
        <f t="shared" si="26"/>
        <v>0.8740293356341674</v>
      </c>
      <c r="I41" s="88">
        <v>-0.25290000000000001</v>
      </c>
      <c r="J41" s="109">
        <v>-0.24879999999999999</v>
      </c>
      <c r="K41" s="109">
        <v>-0.2475</v>
      </c>
      <c r="L41" s="109">
        <v>-0.25</v>
      </c>
      <c r="M41" s="109">
        <v>-0.25</v>
      </c>
      <c r="N41" s="109">
        <v>-0.25</v>
      </c>
      <c r="O41" s="109">
        <v>-0.25</v>
      </c>
      <c r="P41" s="109">
        <v>-0.25</v>
      </c>
      <c r="Q41" s="109">
        <v>-0.25</v>
      </c>
      <c r="R41" s="109">
        <v>-0.25</v>
      </c>
      <c r="S41" s="58"/>
    </row>
    <row r="42" spans="1:86" s="47" customFormat="1" x14ac:dyDescent="0.25">
      <c r="A42" s="1"/>
      <c r="B42" s="1"/>
      <c r="C42" s="82"/>
      <c r="D42" s="82"/>
      <c r="E42" s="82"/>
      <c r="F42" s="82"/>
      <c r="G42" s="82"/>
      <c r="H42" s="82"/>
      <c r="I42" s="83"/>
      <c r="J42" s="108"/>
      <c r="K42" s="108"/>
      <c r="L42" s="108"/>
      <c r="M42" s="108"/>
      <c r="N42" s="108"/>
      <c r="O42" s="108"/>
      <c r="P42" s="108"/>
      <c r="Q42" s="108"/>
      <c r="R42" s="108"/>
    </row>
    <row r="43" spans="1:86" s="47" customFormat="1" x14ac:dyDescent="0.25">
      <c r="A43" s="1"/>
      <c r="B43" s="9" t="s">
        <v>22</v>
      </c>
      <c r="C43" s="69">
        <v>2018</v>
      </c>
      <c r="D43" s="69">
        <v>2019</v>
      </c>
      <c r="E43" s="69">
        <v>2020</v>
      </c>
      <c r="F43" s="69">
        <v>2021</v>
      </c>
      <c r="G43" s="69">
        <v>2022</v>
      </c>
      <c r="H43" s="69">
        <v>2023</v>
      </c>
      <c r="I43" s="101">
        <v>2023</v>
      </c>
      <c r="J43" s="112">
        <v>2024</v>
      </c>
      <c r="K43" s="112">
        <v>2025</v>
      </c>
      <c r="L43" s="112">
        <v>2026</v>
      </c>
      <c r="M43" s="112">
        <v>2027</v>
      </c>
      <c r="N43" s="112">
        <v>2028</v>
      </c>
      <c r="O43" s="112">
        <v>2029</v>
      </c>
      <c r="P43" s="112">
        <v>2030</v>
      </c>
      <c r="Q43" s="112">
        <v>2031</v>
      </c>
      <c r="R43" s="112">
        <v>2032</v>
      </c>
      <c r="S43" s="48">
        <v>2033</v>
      </c>
      <c r="T43" s="48">
        <v>2034</v>
      </c>
      <c r="U43" s="48">
        <v>2035</v>
      </c>
      <c r="V43" s="48">
        <v>2036</v>
      </c>
      <c r="W43" s="48">
        <v>2037</v>
      </c>
      <c r="X43" s="48">
        <v>2038</v>
      </c>
      <c r="Y43" s="48">
        <v>2039</v>
      </c>
      <c r="Z43" s="48">
        <v>2040</v>
      </c>
      <c r="AA43" s="48">
        <v>2041</v>
      </c>
      <c r="AB43" s="48">
        <v>2042</v>
      </c>
      <c r="AC43" s="48">
        <v>2043</v>
      </c>
      <c r="AD43" s="48">
        <v>2044</v>
      </c>
      <c r="AE43" s="48">
        <v>2045</v>
      </c>
      <c r="AF43" s="48">
        <v>2046</v>
      </c>
      <c r="AG43" s="48">
        <v>2047</v>
      </c>
      <c r="AH43" s="48">
        <v>2048</v>
      </c>
      <c r="AI43" s="48">
        <v>2049</v>
      </c>
      <c r="AJ43" s="48">
        <v>2050</v>
      </c>
      <c r="AK43" s="48">
        <v>2051</v>
      </c>
      <c r="AL43" s="48">
        <v>2052</v>
      </c>
      <c r="AM43" s="48">
        <v>2053</v>
      </c>
      <c r="AN43" s="48">
        <v>2054</v>
      </c>
      <c r="AO43" s="48">
        <v>2055</v>
      </c>
      <c r="AP43" s="48">
        <v>2056</v>
      </c>
      <c r="AQ43" s="48">
        <v>2057</v>
      </c>
      <c r="AR43" s="48">
        <v>2058</v>
      </c>
      <c r="AS43" s="48">
        <v>2059</v>
      </c>
      <c r="AT43" s="48">
        <v>2060</v>
      </c>
      <c r="AU43" s="48">
        <v>2061</v>
      </c>
      <c r="AV43" s="48">
        <v>2062</v>
      </c>
      <c r="AW43" s="48">
        <v>2063</v>
      </c>
      <c r="AX43" s="48">
        <v>2064</v>
      </c>
      <c r="AY43" s="48">
        <v>2065</v>
      </c>
      <c r="AZ43" s="48">
        <v>2066</v>
      </c>
      <c r="BA43" s="48">
        <v>2067</v>
      </c>
      <c r="BB43" s="48">
        <v>2068</v>
      </c>
      <c r="BC43" s="48">
        <v>2069</v>
      </c>
      <c r="BD43" s="48">
        <v>2070</v>
      </c>
      <c r="BE43" s="48">
        <v>2071</v>
      </c>
      <c r="BF43" s="48">
        <v>2072</v>
      </c>
      <c r="BG43" s="48">
        <v>2073</v>
      </c>
      <c r="BH43" s="48">
        <v>2074</v>
      </c>
      <c r="BI43" s="48">
        <v>2075</v>
      </c>
      <c r="BJ43" s="48">
        <v>2076</v>
      </c>
      <c r="BK43" s="48">
        <v>2077</v>
      </c>
      <c r="BL43" s="48">
        <v>2078</v>
      </c>
      <c r="BM43" s="48">
        <v>2079</v>
      </c>
      <c r="BN43" s="48">
        <v>2080</v>
      </c>
      <c r="BO43" s="48">
        <v>2081</v>
      </c>
      <c r="BP43" s="48">
        <v>2082</v>
      </c>
      <c r="BQ43" s="48">
        <v>2083</v>
      </c>
      <c r="BR43" s="48">
        <v>2084</v>
      </c>
      <c r="BS43" s="48">
        <v>2085</v>
      </c>
      <c r="BT43" s="48">
        <v>2086</v>
      </c>
      <c r="BU43" s="48">
        <v>2087</v>
      </c>
      <c r="BV43" s="48">
        <v>2088</v>
      </c>
      <c r="BW43" s="48">
        <v>2089</v>
      </c>
      <c r="BX43" s="48">
        <v>2090</v>
      </c>
      <c r="BY43" s="48">
        <v>2091</v>
      </c>
      <c r="BZ43" s="48">
        <v>2092</v>
      </c>
      <c r="CA43" s="48">
        <v>2093</v>
      </c>
      <c r="CB43" s="48">
        <v>2094</v>
      </c>
      <c r="CC43" s="48">
        <v>2095</v>
      </c>
      <c r="CD43" s="48">
        <v>2096</v>
      </c>
      <c r="CE43" s="48">
        <v>2097</v>
      </c>
      <c r="CF43" s="48">
        <v>2098</v>
      </c>
      <c r="CG43" s="48">
        <v>2099</v>
      </c>
      <c r="CH43" s="48">
        <v>2100</v>
      </c>
    </row>
    <row r="44" spans="1:86" s="47" customFormat="1" x14ac:dyDescent="0.25">
      <c r="A44" s="1"/>
      <c r="B44" s="1" t="s">
        <v>23</v>
      </c>
      <c r="C44" s="70">
        <f>'Raw CF'!P5</f>
        <v>3676</v>
      </c>
      <c r="D44" s="70">
        <f>'Raw CF'!Q5</f>
        <v>2093</v>
      </c>
      <c r="E44" s="70">
        <f>'Raw CF'!R5</f>
        <v>2627</v>
      </c>
      <c r="F44" s="93">
        <f>'Raw CF'!E5</f>
        <v>5267</v>
      </c>
      <c r="G44" s="93">
        <f>'Raw CF'!F5</f>
        <v>1713</v>
      </c>
      <c r="H44" s="93">
        <f>'Raw CF'!G5</f>
        <v>-446</v>
      </c>
      <c r="I44" s="80">
        <f>I45*I11</f>
        <v>1010.0000000000001</v>
      </c>
      <c r="J44" s="106">
        <f t="shared" ref="J44:R44" si="27">J45*J11</f>
        <v>984.36</v>
      </c>
      <c r="K44" s="106">
        <f t="shared" si="27"/>
        <v>1020</v>
      </c>
      <c r="L44" s="106">
        <f t="shared" si="27"/>
        <v>762</v>
      </c>
      <c r="M44" s="106">
        <f t="shared" si="27"/>
        <v>746</v>
      </c>
      <c r="N44" s="106">
        <f t="shared" si="27"/>
        <v>697</v>
      </c>
      <c r="O44" s="106">
        <f t="shared" si="27"/>
        <v>692</v>
      </c>
      <c r="P44" s="106">
        <f t="shared" si="27"/>
        <v>690</v>
      </c>
      <c r="Q44" s="106">
        <f t="shared" si="27"/>
        <v>690</v>
      </c>
      <c r="R44" s="106">
        <f t="shared" si="27"/>
        <v>693</v>
      </c>
    </row>
    <row r="45" spans="1:86" s="47" customFormat="1" x14ac:dyDescent="0.25">
      <c r="A45" s="1"/>
      <c r="B45" s="59" t="s">
        <v>19</v>
      </c>
      <c r="C45" s="81">
        <f t="shared" ref="C45:H45" si="28">C44/C11</f>
        <v>0.15881107702942066</v>
      </c>
      <c r="D45" s="81">
        <f t="shared" si="28"/>
        <v>9.2762487257900109E-2</v>
      </c>
      <c r="E45" s="81">
        <f t="shared" si="28"/>
        <v>0.11267424404889556</v>
      </c>
      <c r="F45" s="81">
        <f t="shared" si="28"/>
        <v>0.24103056928427605</v>
      </c>
      <c r="G45" s="81">
        <f t="shared" si="28"/>
        <v>7.7155211242230431E-2</v>
      </c>
      <c r="H45" s="81">
        <f t="shared" si="28"/>
        <v>-1.7903737304805108E-2</v>
      </c>
      <c r="I45" s="114">
        <v>4.1427399507793276E-2</v>
      </c>
      <c r="J45" s="107">
        <v>3.9852631578947369E-2</v>
      </c>
      <c r="K45" s="107">
        <v>4.0686078978859196E-2</v>
      </c>
      <c r="L45" s="107">
        <v>3.0590124448012845E-2</v>
      </c>
      <c r="M45" s="107">
        <v>2.9140625E-2</v>
      </c>
      <c r="N45" s="107">
        <v>2.6787086856264412E-2</v>
      </c>
      <c r="O45" s="107">
        <v>2.6182368520620506E-2</v>
      </c>
      <c r="P45" s="107">
        <v>2.5784753363228698E-2</v>
      </c>
      <c r="Q45" s="107">
        <v>2.5442477876106193E-2</v>
      </c>
      <c r="R45" s="107">
        <v>2.5181686046511623E-2</v>
      </c>
    </row>
    <row r="46" spans="1:86" s="47" customFormat="1" x14ac:dyDescent="0.25">
      <c r="A46" s="1"/>
      <c r="B46" s="1"/>
      <c r="C46" s="82"/>
      <c r="D46" s="82"/>
      <c r="E46" s="82"/>
      <c r="F46" s="84"/>
      <c r="G46" s="82"/>
      <c r="H46" s="82"/>
      <c r="I46" s="83"/>
      <c r="J46" s="108"/>
      <c r="K46" s="108"/>
      <c r="L46" s="108"/>
      <c r="M46" s="108"/>
      <c r="N46" s="108"/>
      <c r="O46" s="108"/>
      <c r="P46" s="108"/>
      <c r="Q46" s="108"/>
      <c r="R46" s="108"/>
    </row>
    <row r="47" spans="1:86" s="47" customFormat="1" x14ac:dyDescent="0.25">
      <c r="A47" s="1"/>
      <c r="B47" s="1" t="s">
        <v>24</v>
      </c>
      <c r="C47" s="70">
        <f>'Raw CF'!P16+'Raw CF'!P17</f>
        <v>-534</v>
      </c>
      <c r="D47" s="70">
        <f>'Raw CF'!Q16+'Raw CF'!Q17</f>
        <v>-584</v>
      </c>
      <c r="E47" s="70">
        <f>'Raw CF'!R16+'Raw CF'!R17</f>
        <v>-651</v>
      </c>
      <c r="F47" s="93">
        <f>'Raw CF'!E16+'Raw CF'!E17</f>
        <v>-466</v>
      </c>
      <c r="G47" s="93">
        <f>'Raw CF'!F16+'Raw CF'!F17</f>
        <v>-457</v>
      </c>
      <c r="H47" s="93">
        <f>'Raw CF'!G16+'Raw CF'!G17</f>
        <v>-568</v>
      </c>
      <c r="I47" s="80">
        <f>I48*I11</f>
        <v>-676</v>
      </c>
      <c r="J47" s="106">
        <f t="shared" ref="J47:R47" si="29">J48*J11</f>
        <v>-652</v>
      </c>
      <c r="K47" s="106">
        <f t="shared" si="29"/>
        <v>-659</v>
      </c>
      <c r="L47" s="106">
        <f t="shared" si="29"/>
        <v>-697.33</v>
      </c>
      <c r="M47" s="106">
        <f t="shared" si="29"/>
        <v>-704</v>
      </c>
      <c r="N47" s="106">
        <f t="shared" si="29"/>
        <v>-705</v>
      </c>
      <c r="O47" s="106">
        <f t="shared" si="29"/>
        <v>-711</v>
      </c>
      <c r="P47" s="106">
        <f t="shared" si="29"/>
        <v>-717</v>
      </c>
      <c r="Q47" s="106">
        <f t="shared" si="29"/>
        <v>-723</v>
      </c>
      <c r="R47" s="106">
        <f t="shared" si="29"/>
        <v>-731</v>
      </c>
    </row>
    <row r="48" spans="1:86" s="47" customFormat="1" x14ac:dyDescent="0.25">
      <c r="A48" s="1"/>
      <c r="B48" s="59" t="s">
        <v>19</v>
      </c>
      <c r="C48" s="81">
        <f t="shared" ref="C48:H48" si="30">C47/C11</f>
        <v>-2.3069944269235754E-2</v>
      </c>
      <c r="D48" s="81">
        <f t="shared" si="30"/>
        <v>-2.5883082923370118E-2</v>
      </c>
      <c r="E48" s="81">
        <f t="shared" si="30"/>
        <v>-2.7921938666094787E-2</v>
      </c>
      <c r="F48" s="81">
        <f t="shared" si="30"/>
        <v>-2.1325279150649825E-2</v>
      </c>
      <c r="G48" s="81">
        <f t="shared" si="30"/>
        <v>-2.0583731195387804E-2</v>
      </c>
      <c r="H48" s="81">
        <f t="shared" si="30"/>
        <v>-2.280117217293565E-2</v>
      </c>
      <c r="I48" s="114">
        <v>-2.7727645611156686E-2</v>
      </c>
      <c r="J48" s="107">
        <v>-2.6396761133603237E-2</v>
      </c>
      <c r="K48" s="107">
        <v>-2.6286398085360988E-2</v>
      </c>
      <c r="L48" s="107">
        <v>-2.7993978321959056E-2</v>
      </c>
      <c r="M48" s="107">
        <v>-2.75E-2</v>
      </c>
      <c r="N48" s="107">
        <v>-2.7094542659492699E-2</v>
      </c>
      <c r="O48" s="107">
        <v>-2.6901248581157774E-2</v>
      </c>
      <c r="P48" s="107">
        <v>-2.6793721973094167E-2</v>
      </c>
      <c r="Q48" s="107">
        <v>-2.6659292035398227E-2</v>
      </c>
      <c r="R48" s="107">
        <v>-2.6562499999999992E-2</v>
      </c>
    </row>
    <row r="49" spans="1:86" s="47" customFormat="1" x14ac:dyDescent="0.25">
      <c r="A49" s="1"/>
      <c r="B49" s="1"/>
      <c r="C49" s="82"/>
      <c r="D49" s="82"/>
      <c r="E49" s="82"/>
      <c r="F49" s="84"/>
      <c r="G49" s="82"/>
      <c r="H49" s="82"/>
      <c r="I49" s="83"/>
      <c r="J49" s="108"/>
      <c r="K49" s="108"/>
      <c r="L49" s="108"/>
      <c r="M49" s="108"/>
      <c r="N49" s="108"/>
      <c r="O49" s="108"/>
      <c r="P49" s="108"/>
      <c r="Q49" s="108"/>
      <c r="R49" s="108"/>
    </row>
    <row r="50" spans="1:86" s="47" customFormat="1" x14ac:dyDescent="0.25">
      <c r="A50" s="1"/>
      <c r="B50" s="1" t="s">
        <v>25</v>
      </c>
      <c r="C50" s="61">
        <f>SUM('Raw CF'!P7:P9)</f>
        <v>504</v>
      </c>
      <c r="D50" s="61">
        <f>SUM('Raw CF'!Q7:Q9)</f>
        <v>-943</v>
      </c>
      <c r="E50" s="61">
        <f>SUM('Raw CF'!R7:R9)</f>
        <v>-1788</v>
      </c>
      <c r="F50" s="84">
        <f>SUM('Raw CF'!E7:E9)</f>
        <v>-710</v>
      </c>
      <c r="G50" s="84">
        <f>SUM('Raw CF'!F7:F9)</f>
        <v>-268</v>
      </c>
      <c r="H50" s="84">
        <f>SUM('Raw CF'!G7:G9)</f>
        <v>-1843</v>
      </c>
      <c r="I50" s="80">
        <f t="shared" ref="I50:R50" si="31">I51*I11</f>
        <v>-243.8</v>
      </c>
      <c r="J50" s="106">
        <f t="shared" si="31"/>
        <v>-247</v>
      </c>
      <c r="K50" s="106">
        <f t="shared" si="31"/>
        <v>-250.70000000000002</v>
      </c>
      <c r="L50" s="106">
        <f t="shared" si="31"/>
        <v>-249.1</v>
      </c>
      <c r="M50" s="106">
        <f t="shared" si="31"/>
        <v>-256</v>
      </c>
      <c r="N50" s="106">
        <f t="shared" si="31"/>
        <v>-260.2</v>
      </c>
      <c r="O50" s="106">
        <f t="shared" si="31"/>
        <v>-264.3</v>
      </c>
      <c r="P50" s="106">
        <f t="shared" si="31"/>
        <v>-267.60000000000002</v>
      </c>
      <c r="Q50" s="106">
        <f t="shared" si="31"/>
        <v>-271.20000000000005</v>
      </c>
      <c r="R50" s="106">
        <f t="shared" si="31"/>
        <v>-275.2000000000001</v>
      </c>
    </row>
    <row r="51" spans="1:86" s="47" customFormat="1" x14ac:dyDescent="0.25">
      <c r="A51" s="1"/>
      <c r="B51" s="59" t="s">
        <v>19</v>
      </c>
      <c r="C51" s="81">
        <f t="shared" ref="C51:H51" si="32">C50/C11</f>
        <v>2.1773879984447228E-2</v>
      </c>
      <c r="D51" s="81">
        <f t="shared" si="32"/>
        <v>-4.1794087665647302E-2</v>
      </c>
      <c r="E51" s="81">
        <f t="shared" si="32"/>
        <v>-7.6688826935449275E-2</v>
      </c>
      <c r="F51" s="81">
        <f t="shared" si="32"/>
        <v>-3.2491305143693944E-2</v>
      </c>
      <c r="G51" s="81">
        <f t="shared" si="32"/>
        <v>-1.2070984595982343E-2</v>
      </c>
      <c r="H51" s="81">
        <f t="shared" si="32"/>
        <v>-7.3983380835775367E-2</v>
      </c>
      <c r="I51" s="102">
        <v>-0.01</v>
      </c>
      <c r="J51" s="113">
        <v>-0.01</v>
      </c>
      <c r="K51" s="113">
        <v>-0.01</v>
      </c>
      <c r="L51" s="113">
        <v>-0.01</v>
      </c>
      <c r="M51" s="113">
        <v>-0.01</v>
      </c>
      <c r="N51" s="113">
        <v>-0.01</v>
      </c>
      <c r="O51" s="113">
        <v>-0.01</v>
      </c>
      <c r="P51" s="113">
        <v>-0.01</v>
      </c>
      <c r="Q51" s="113">
        <v>-0.01</v>
      </c>
      <c r="R51" s="113">
        <v>-0.01</v>
      </c>
    </row>
    <row r="52" spans="1:86" s="47" customFormat="1" x14ac:dyDescent="0.25">
      <c r="A52" s="1"/>
      <c r="B52" s="1"/>
      <c r="C52" s="82"/>
      <c r="D52" s="82"/>
      <c r="E52" s="82"/>
      <c r="F52" s="82"/>
      <c r="G52" s="82"/>
      <c r="H52" s="82"/>
      <c r="I52" s="83"/>
      <c r="J52" s="108"/>
      <c r="K52" s="108"/>
      <c r="L52" s="108"/>
      <c r="M52" s="108"/>
      <c r="N52" s="108"/>
      <c r="O52" s="108"/>
      <c r="P52" s="108"/>
      <c r="Q52" s="108"/>
      <c r="R52" s="108"/>
    </row>
    <row r="53" spans="1:86" s="47" customFormat="1" x14ac:dyDescent="0.25">
      <c r="A53" s="1"/>
      <c r="B53" s="9" t="s">
        <v>26</v>
      </c>
      <c r="C53" s="70">
        <f>C37+C40</f>
        <v>-911</v>
      </c>
      <c r="D53" s="70">
        <f t="shared" ref="D53:R53" si="33">D37+D40</f>
        <v>-248</v>
      </c>
      <c r="E53" s="70">
        <f t="shared" si="33"/>
        <v>347</v>
      </c>
      <c r="F53" s="70">
        <f t="shared" si="33"/>
        <v>-2371</v>
      </c>
      <c r="G53" s="70">
        <f t="shared" si="33"/>
        <v>1886</v>
      </c>
      <c r="H53" s="70">
        <f t="shared" si="33"/>
        <v>4344</v>
      </c>
      <c r="I53" s="92">
        <f t="shared" si="33"/>
        <v>1967.1441840000007</v>
      </c>
      <c r="J53" s="110">
        <f t="shared" si="33"/>
        <v>2159.760096</v>
      </c>
      <c r="K53" s="110">
        <f t="shared" si="33"/>
        <v>2358.1468749999999</v>
      </c>
      <c r="L53" s="110">
        <f t="shared" si="33"/>
        <v>2456.7487499999988</v>
      </c>
      <c r="M53" s="110">
        <f t="shared" si="33"/>
        <v>2572.7999999999997</v>
      </c>
      <c r="N53" s="110">
        <f t="shared" si="33"/>
        <v>2615.0099999999993</v>
      </c>
      <c r="O53" s="110">
        <f t="shared" si="33"/>
        <v>2656.2150000000001</v>
      </c>
      <c r="P53" s="110">
        <f t="shared" si="33"/>
        <v>2689.3799999999992</v>
      </c>
      <c r="Q53" s="110">
        <f t="shared" si="33"/>
        <v>2725.56</v>
      </c>
      <c r="R53" s="110">
        <f t="shared" si="33"/>
        <v>2765.76</v>
      </c>
    </row>
    <row r="54" spans="1:86" s="47" customFormat="1" x14ac:dyDescent="0.25">
      <c r="A54" s="1"/>
      <c r="B54" s="9" t="s">
        <v>141</v>
      </c>
      <c r="C54" s="70">
        <v>-21</v>
      </c>
      <c r="D54" s="70">
        <v>214</v>
      </c>
      <c r="E54" s="70">
        <f>'Raw IS'!Q24</f>
        <v>-7</v>
      </c>
      <c r="F54" s="70">
        <f>'Raw IS'!E19</f>
        <v>-3</v>
      </c>
      <c r="G54" s="70">
        <f>'Raw IS'!F19</f>
        <v>-9</v>
      </c>
      <c r="H54" s="70">
        <f>'Raw IS'!G19</f>
        <v>49</v>
      </c>
      <c r="I54" s="92"/>
      <c r="J54" s="110"/>
      <c r="K54" s="110"/>
      <c r="L54" s="110"/>
      <c r="M54" s="110"/>
      <c r="N54" s="110"/>
      <c r="O54" s="110"/>
      <c r="P54" s="110"/>
      <c r="Q54" s="110"/>
      <c r="R54" s="110"/>
    </row>
    <row r="55" spans="1:86" s="47" customFormat="1" x14ac:dyDescent="0.25">
      <c r="A55" s="1"/>
      <c r="B55" s="9" t="s">
        <v>27</v>
      </c>
      <c r="C55" s="70">
        <f>C35+C40+C54</f>
        <v>-1458</v>
      </c>
      <c r="D55" s="70">
        <f t="shared" ref="D55:H55" si="34">D35+D40+D54</f>
        <v>-335</v>
      </c>
      <c r="E55" s="70">
        <f t="shared" si="34"/>
        <v>11</v>
      </c>
      <c r="F55" s="70">
        <f t="shared" si="34"/>
        <v>-2516</v>
      </c>
      <c r="G55" s="70">
        <f t="shared" si="34"/>
        <v>1645</v>
      </c>
      <c r="H55" s="70">
        <f t="shared" si="34"/>
        <v>4259</v>
      </c>
      <c r="I55" s="115">
        <f t="shared" ref="I55" si="35">I35+I40+I54</f>
        <v>1845.2441840000006</v>
      </c>
      <c r="J55" s="111">
        <f t="shared" ref="J55" si="36">J35+J40+J54</f>
        <v>2011.5600960000002</v>
      </c>
      <c r="K55" s="111">
        <f t="shared" ref="K55" si="37">K35+K40+K54</f>
        <v>2132.5168749999998</v>
      </c>
      <c r="L55" s="111">
        <f t="shared" ref="L55" si="38">L35+L40+L54</f>
        <v>2182.7387499999986</v>
      </c>
      <c r="M55" s="111">
        <f t="shared" ref="M55" si="39">M35+M40+M54</f>
        <v>2291.1999999999998</v>
      </c>
      <c r="N55" s="111">
        <f t="shared" ref="N55" si="40">N35+N40+N54</f>
        <v>2328.79</v>
      </c>
      <c r="O55" s="111">
        <f t="shared" ref="O55" si="41">O35+O40+O54</f>
        <v>2365.4849999999997</v>
      </c>
      <c r="P55" s="111">
        <f t="shared" ref="P55" si="42">P35+P40+P54</f>
        <v>2395.0199999999995</v>
      </c>
      <c r="Q55" s="111">
        <f t="shared" ref="Q55" si="43">Q35+Q40+Q54</f>
        <v>2427.2399999999998</v>
      </c>
      <c r="R55" s="111">
        <f t="shared" ref="R55" si="44">R35+R40+R54</f>
        <v>2463.04</v>
      </c>
      <c r="S55" s="54">
        <f>R55*(1+E6)</f>
        <v>2475.3551999999995</v>
      </c>
      <c r="T55" s="54">
        <f>S55*(1+E6)</f>
        <v>2487.7319759999991</v>
      </c>
      <c r="U55" s="54">
        <f>T55*(1+E6)</f>
        <v>2500.1706358799988</v>
      </c>
      <c r="V55" s="54">
        <f>U55*(1+E6)</f>
        <v>2512.6714890593985</v>
      </c>
      <c r="W55" s="54">
        <f>V55*(1+E6)</f>
        <v>2525.2348465046953</v>
      </c>
      <c r="X55" s="54">
        <f>W55*(1+E6)</f>
        <v>2537.8610207372185</v>
      </c>
      <c r="Y55" s="54">
        <f>X55*(1+E6)</f>
        <v>2550.5503258409044</v>
      </c>
      <c r="Z55" s="54">
        <f>Y55*(1+E6)</f>
        <v>2563.3030774701087</v>
      </c>
      <c r="AA55" s="54">
        <f>Z55*(1+E6)</f>
        <v>2576.1195928574589</v>
      </c>
      <c r="AB55" s="54">
        <f>AA55*(1+E6)</f>
        <v>2589.0001908217459</v>
      </c>
      <c r="AC55" s="54">
        <f>AB55*(1+E6)</f>
        <v>2601.9451917758543</v>
      </c>
      <c r="AD55" s="54">
        <f>AC55*(1+E6)</f>
        <v>2614.954917734733</v>
      </c>
      <c r="AE55" s="54">
        <f>AD55*(1+E6)</f>
        <v>2628.0296923234064</v>
      </c>
      <c r="AF55" s="54">
        <f>AE55*(1+E6)</f>
        <v>2641.1698407850231</v>
      </c>
      <c r="AG55" s="54">
        <f>AF55*(1+E6)</f>
        <v>2654.3756899889481</v>
      </c>
      <c r="AH55" s="54">
        <f>AG55*(1+E6)</f>
        <v>2667.6475684388924</v>
      </c>
      <c r="AI55" s="54">
        <f>AH55*(1+E6)</f>
        <v>2680.9858062810868</v>
      </c>
      <c r="AJ55" s="54">
        <f>AI55*(1+E6)</f>
        <v>2694.3907353124919</v>
      </c>
      <c r="AK55" s="54">
        <f>AJ55*(1+E6)</f>
        <v>2707.8626889890538</v>
      </c>
      <c r="AL55" s="54">
        <f>AK55*(1+E6)</f>
        <v>2721.4020024339989</v>
      </c>
      <c r="AM55" s="54">
        <f>AL55*(1+E6)</f>
        <v>2735.0090124461685</v>
      </c>
      <c r="AN55" s="54">
        <f>AM55*(1+E6)</f>
        <v>2748.6840575083993</v>
      </c>
      <c r="AO55" s="54">
        <f>AN55*(1+E6)</f>
        <v>2762.4274777959408</v>
      </c>
      <c r="AP55" s="54">
        <f>AO55*(1+E6)</f>
        <v>2776.2396151849202</v>
      </c>
      <c r="AQ55" s="54">
        <f>AP55*(1+E6)</f>
        <v>2790.1208132608444</v>
      </c>
      <c r="AR55" s="54">
        <f>AQ55*(1+E6)</f>
        <v>2804.0714173271485</v>
      </c>
      <c r="AS55" s="54">
        <f>AR55*(1+E6)</f>
        <v>2818.0917744137842</v>
      </c>
      <c r="AT55" s="54">
        <f>AS55*(1+E6)</f>
        <v>2832.1822332858528</v>
      </c>
      <c r="AU55" s="54">
        <f>AT55*(1+E6)</f>
        <v>2846.3431444522816</v>
      </c>
      <c r="AV55" s="54">
        <f>AU55*(1+E6)</f>
        <v>2860.5748601745427</v>
      </c>
      <c r="AW55" s="54">
        <f>AV55*(1+E6)</f>
        <v>2874.8777344754149</v>
      </c>
      <c r="AX55" s="54">
        <f>AW55*(1+E6)</f>
        <v>2889.2521231477917</v>
      </c>
      <c r="AY55" s="54">
        <f>AX55*(1+E6)</f>
        <v>2903.6983837635303</v>
      </c>
      <c r="AZ55" s="54">
        <f>AY55*(1+E6)</f>
        <v>2918.2168756823476</v>
      </c>
      <c r="BA55" s="54">
        <f>AZ55*(1+E6)</f>
        <v>2932.8079600607589</v>
      </c>
      <c r="BB55" s="54">
        <f>BA55*(1+E6)</f>
        <v>2947.4719998610622</v>
      </c>
      <c r="BC55" s="54">
        <f>BB55*(1+E6)</f>
        <v>2962.2093598603669</v>
      </c>
      <c r="BD55" s="54">
        <f>BC55*(1+E6)</f>
        <v>2977.0204066596684</v>
      </c>
      <c r="BE55" s="54">
        <f>BD55*(1+E6)</f>
        <v>2991.9055086929666</v>
      </c>
      <c r="BF55" s="54">
        <f>BE55*(1+E6)</f>
        <v>3006.865036236431</v>
      </c>
      <c r="BG55" s="54">
        <f>BF55*(1+E6)</f>
        <v>3021.8993614176129</v>
      </c>
      <c r="BH55" s="54">
        <f>BG55*(1+E6)</f>
        <v>3037.0088582247008</v>
      </c>
      <c r="BI55" s="54">
        <f>BH55*(1+E6)</f>
        <v>3052.193902515824</v>
      </c>
      <c r="BJ55" s="54">
        <f>BI55*(1+E6)</f>
        <v>3067.4548720284029</v>
      </c>
      <c r="BK55" s="54">
        <f>BJ55*(1+E6)</f>
        <v>3082.7921463885446</v>
      </c>
      <c r="BL55" s="54">
        <f>BK55*(1+E6)</f>
        <v>3098.2061071204871</v>
      </c>
      <c r="BM55" s="54">
        <f>BL55*(1+E6)</f>
        <v>3113.6971376560891</v>
      </c>
      <c r="BN55" s="54">
        <f>BM55*(1+E6)</f>
        <v>3129.265623344369</v>
      </c>
      <c r="BO55" s="54">
        <f>BN55*(1+E6)</f>
        <v>3144.9119514610907</v>
      </c>
      <c r="BP55" s="54">
        <f>BO55*(1+E6)</f>
        <v>3160.6365112183958</v>
      </c>
      <c r="BQ55" s="54">
        <f>BP55*(1+E6)</f>
        <v>3176.4396937744873</v>
      </c>
      <c r="BR55" s="54">
        <f>BQ55*(1+E6)</f>
        <v>3192.3218922433593</v>
      </c>
      <c r="BS55" s="54">
        <f>BR55*(1+E6)</f>
        <v>3208.2835017045759</v>
      </c>
      <c r="BT55" s="54">
        <f>BS55*(1+E6)</f>
        <v>3224.3249192130984</v>
      </c>
      <c r="BU55" s="54">
        <f>BT55*(1+E6)</f>
        <v>3240.4465438091634</v>
      </c>
      <c r="BV55" s="54">
        <f>BU55*(1+E6)</f>
        <v>3256.6487765282091</v>
      </c>
      <c r="BW55" s="54">
        <f>BV55*(1+E6)</f>
        <v>3272.9320204108499</v>
      </c>
      <c r="BX55" s="54">
        <f>BW55*(1+E6)</f>
        <v>3289.2966805129035</v>
      </c>
      <c r="BY55" s="54">
        <f>BX55*(1+E6)</f>
        <v>3305.7431639154679</v>
      </c>
      <c r="BZ55" s="54">
        <f>BY55*(1+E6)</f>
        <v>3322.2718797350449</v>
      </c>
      <c r="CA55" s="54">
        <f>BZ55*(1+E6)</f>
        <v>3338.8832391337196</v>
      </c>
      <c r="CB55" s="54">
        <f>CA55*(1+E6)</f>
        <v>3355.5776553293877</v>
      </c>
      <c r="CC55" s="54">
        <f>CB55*(1+E6)</f>
        <v>3372.3555436060342</v>
      </c>
      <c r="CD55" s="54">
        <f>CC55*(1+E6)</f>
        <v>3389.217321324064</v>
      </c>
      <c r="CE55" s="54">
        <f>CD55*(1+E6)</f>
        <v>3406.1634079306841</v>
      </c>
      <c r="CF55" s="54">
        <f>CE55*(1+E6)</f>
        <v>3423.194224970337</v>
      </c>
      <c r="CG55" s="54">
        <f>CF55*(1+E6)</f>
        <v>3440.3101960951885</v>
      </c>
      <c r="CH55" s="54">
        <f>CG55*(1+E6)</f>
        <v>3457.5117470756641</v>
      </c>
    </row>
    <row r="56" spans="1:86" s="47" customFormat="1" x14ac:dyDescent="0.25">
      <c r="A56" s="1"/>
      <c r="B56" s="6"/>
      <c r="C56" s="70"/>
      <c r="D56" s="70"/>
      <c r="E56" s="70"/>
      <c r="F56" s="70"/>
      <c r="G56" s="70"/>
      <c r="H56" s="70"/>
      <c r="I56" s="83"/>
      <c r="J56" s="108"/>
      <c r="K56" s="108"/>
      <c r="L56" s="108"/>
      <c r="M56" s="108"/>
      <c r="N56" s="108"/>
      <c r="O56" s="108"/>
      <c r="P56" s="108"/>
      <c r="Q56" s="108"/>
      <c r="R56" s="108"/>
    </row>
    <row r="57" spans="1:86" s="47" customFormat="1" x14ac:dyDescent="0.25">
      <c r="A57" s="1"/>
      <c r="B57" s="9" t="s">
        <v>28</v>
      </c>
      <c r="C57" s="70">
        <f t="shared" ref="C57:I57" si="45">C53+C44+C47-C50</f>
        <v>1727</v>
      </c>
      <c r="D57" s="70">
        <f t="shared" si="45"/>
        <v>2204</v>
      </c>
      <c r="E57" s="70">
        <f t="shared" si="45"/>
        <v>4111</v>
      </c>
      <c r="F57" s="70">
        <f t="shared" si="45"/>
        <v>3140</v>
      </c>
      <c r="G57" s="70">
        <f t="shared" si="45"/>
        <v>3410</v>
      </c>
      <c r="H57" s="70">
        <f t="shared" si="45"/>
        <v>5173</v>
      </c>
      <c r="I57" s="92">
        <f t="shared" si="45"/>
        <v>2544.9441840000009</v>
      </c>
      <c r="J57" s="110">
        <f t="shared" ref="J57:R57" si="46">J53+J44+J47-J50</f>
        <v>2739.1200960000001</v>
      </c>
      <c r="K57" s="110">
        <f t="shared" si="46"/>
        <v>2969.8468749999997</v>
      </c>
      <c r="L57" s="110">
        <f t="shared" si="46"/>
        <v>2770.5187499999988</v>
      </c>
      <c r="M57" s="110">
        <f t="shared" si="46"/>
        <v>2870.7999999999997</v>
      </c>
      <c r="N57" s="110">
        <f t="shared" si="46"/>
        <v>2867.2099999999991</v>
      </c>
      <c r="O57" s="110">
        <f t="shared" si="46"/>
        <v>2901.5150000000003</v>
      </c>
      <c r="P57" s="110">
        <f t="shared" si="46"/>
        <v>2929.9799999999991</v>
      </c>
      <c r="Q57" s="110">
        <f t="shared" si="46"/>
        <v>2963.76</v>
      </c>
      <c r="R57" s="110">
        <f t="shared" si="46"/>
        <v>3002.9600000000005</v>
      </c>
    </row>
    <row r="58" spans="1:86" s="47" customFormat="1" x14ac:dyDescent="0.25">
      <c r="A58" s="1"/>
      <c r="B58" s="18" t="s">
        <v>29</v>
      </c>
      <c r="C58" s="82"/>
      <c r="D58" s="82"/>
      <c r="E58" s="82"/>
      <c r="F58" s="82"/>
      <c r="G58" s="82"/>
      <c r="H58" s="82"/>
      <c r="I58" s="103">
        <f>I57/((1+E5)^I9)</f>
        <v>2336.8985740388785</v>
      </c>
      <c r="J58" s="100">
        <f>J57/((1+E5)^J9)</f>
        <v>2309.5867416447031</v>
      </c>
      <c r="K58" s="100">
        <f>K57/((1+E5)^K9)</f>
        <v>2299.4229576756006</v>
      </c>
      <c r="L58" s="100">
        <f>L57/((1+E5)^L9)</f>
        <v>1969.7336344960072</v>
      </c>
      <c r="M58" s="100">
        <f>M57/((1+E5)^M9)</f>
        <v>1874.1784785712898</v>
      </c>
      <c r="N58" s="100">
        <f>N57/((1+E5)^N9)</f>
        <v>1718.8149142378659</v>
      </c>
      <c r="O58" s="100">
        <f>O57/((1+E5)^O9)</f>
        <v>1597.1879780333479</v>
      </c>
      <c r="P58" s="100">
        <f>P57/((1+E5)^P9)</f>
        <v>1481.0082241617067</v>
      </c>
      <c r="Q58" s="100">
        <f>Q57/((1+E5)^Q9)</f>
        <v>1375.6167282935608</v>
      </c>
      <c r="R58" s="100">
        <f>R57/((1+E5)^R9)</f>
        <v>1279.8691332361882</v>
      </c>
    </row>
    <row r="59" spans="1:86" s="47" customFormat="1" x14ac:dyDescent="0.25">
      <c r="A59" s="1"/>
      <c r="B59" s="19"/>
      <c r="C59" s="19"/>
      <c r="D59" s="19"/>
      <c r="E59" s="19"/>
      <c r="F59" s="19"/>
      <c r="G59" s="19"/>
      <c r="H59" s="19"/>
      <c r="I59" s="20"/>
      <c r="J59" s="19"/>
      <c r="K59" s="19"/>
      <c r="L59" s="19"/>
      <c r="M59" s="19"/>
      <c r="N59" s="19"/>
      <c r="O59" s="19"/>
      <c r="P59" s="19"/>
      <c r="Q59" s="19"/>
      <c r="R59" s="19"/>
    </row>
    <row r="60" spans="1:86" s="47" customFormat="1" x14ac:dyDescent="0.25">
      <c r="A60" s="1"/>
      <c r="B60" s="1" t="s">
        <v>30</v>
      </c>
      <c r="C60" s="21">
        <f>(R57*(1+E6))/(E5-E6)</f>
        <v>35916.993705731562</v>
      </c>
      <c r="D60" s="1"/>
      <c r="E60" s="1" t="s">
        <v>31</v>
      </c>
      <c r="F60" s="16">
        <f>NPV(E5,I55:CH55)</f>
        <v>26676.601294733511</v>
      </c>
      <c r="G60" s="1"/>
      <c r="H60" s="1"/>
      <c r="I60" s="13"/>
      <c r="J60" s="1"/>
      <c r="K60" s="1"/>
      <c r="L60" s="1"/>
      <c r="M60" s="1"/>
      <c r="N60" s="1"/>
      <c r="O60" s="1"/>
      <c r="P60" s="1"/>
      <c r="Q60" s="1"/>
      <c r="R60" s="2"/>
    </row>
    <row r="61" spans="1:86" s="47" customFormat="1" x14ac:dyDescent="0.25">
      <c r="A61" s="1"/>
      <c r="B61" s="3" t="s">
        <v>32</v>
      </c>
      <c r="C61" s="22">
        <f>C60/((1+E5)^R9)</f>
        <v>15307.91339298701</v>
      </c>
      <c r="D61" s="14"/>
      <c r="E61" s="3"/>
      <c r="F61" s="3"/>
      <c r="G61" s="3"/>
      <c r="H61" s="14"/>
      <c r="I61" s="11"/>
      <c r="J61" s="1"/>
      <c r="K61" s="2"/>
      <c r="L61" s="49" t="s">
        <v>54</v>
      </c>
      <c r="M61" s="50"/>
      <c r="N61" s="50"/>
      <c r="O61" s="50"/>
      <c r="P61" s="50"/>
      <c r="Q61" s="49"/>
      <c r="R61" s="2"/>
    </row>
    <row r="62" spans="1:86" s="47" customFormat="1" x14ac:dyDescent="0.25">
      <c r="A62" s="1"/>
      <c r="B62" s="6" t="s">
        <v>33</v>
      </c>
      <c r="C62" s="6"/>
      <c r="D62" s="1"/>
      <c r="E62" s="6"/>
      <c r="F62" s="6"/>
      <c r="G62" s="23" t="s">
        <v>34</v>
      </c>
      <c r="H62" s="23" t="s">
        <v>31</v>
      </c>
      <c r="I62" s="13"/>
      <c r="J62" s="2"/>
      <c r="K62" s="49"/>
      <c r="L62" s="79">
        <f>D68</f>
        <v>5.0314858548892119</v>
      </c>
      <c r="M62" s="75">
        <v>-0.02</v>
      </c>
      <c r="N62" s="75">
        <v>-0.01</v>
      </c>
      <c r="O62" s="75">
        <v>5.0000000000000001E-3</v>
      </c>
      <c r="P62" s="75">
        <v>0.01</v>
      </c>
      <c r="Q62" s="75">
        <v>0.02</v>
      </c>
      <c r="R62" s="2"/>
    </row>
    <row r="63" spans="1:86" s="47" customFormat="1" x14ac:dyDescent="0.25">
      <c r="A63" s="1"/>
      <c r="B63" s="24" t="s">
        <v>35</v>
      </c>
      <c r="C63" s="1"/>
      <c r="D63" s="17">
        <v>5106</v>
      </c>
      <c r="E63" s="1"/>
      <c r="F63" s="1"/>
      <c r="G63" s="21">
        <f>C61+SUM(I58:R58)</f>
        <v>33550.230757376157</v>
      </c>
      <c r="H63" s="16">
        <f>F60</f>
        <v>26676.601294733511</v>
      </c>
      <c r="I63" s="13"/>
      <c r="J63" s="2"/>
      <c r="K63" s="49"/>
      <c r="L63" s="51">
        <f>L64-1%</f>
        <v>6.7161150522934726E-2</v>
      </c>
      <c r="M63" s="76">
        <f t="dataTable" ref="M63:Q67" dt2D="1" dtr="1" r1="E6" r2="E5"/>
        <v>5.7264696874418597</v>
      </c>
      <c r="N63" s="76">
        <v>6.1286657205831148</v>
      </c>
      <c r="O63" s="76">
        <v>6.962653657230784</v>
      </c>
      <c r="P63" s="76">
        <v>7.3312837307769243</v>
      </c>
      <c r="Q63" s="76">
        <v>8.2799607903793202</v>
      </c>
      <c r="R63" s="2"/>
    </row>
    <row r="64" spans="1:86" s="47" customFormat="1" x14ac:dyDescent="0.25">
      <c r="A64" s="1"/>
      <c r="B64" s="25" t="s">
        <v>36</v>
      </c>
      <c r="C64" s="3"/>
      <c r="D64" s="26">
        <f>11507-4257</f>
        <v>7250</v>
      </c>
      <c r="E64" s="3"/>
      <c r="F64" s="3"/>
      <c r="G64" s="3"/>
      <c r="H64" s="3"/>
      <c r="I64" s="13"/>
      <c r="J64" s="2"/>
      <c r="K64" s="50"/>
      <c r="L64" s="51">
        <f>L65-1%</f>
        <v>7.7161150522934721E-2</v>
      </c>
      <c r="M64" s="76">
        <v>5.0512235740104305</v>
      </c>
      <c r="N64" s="77">
        <v>5.346464105353153</v>
      </c>
      <c r="O64" s="77">
        <v>5.9377839668835648</v>
      </c>
      <c r="P64" s="77">
        <v>6.1908597121751949</v>
      </c>
      <c r="Q64" s="76">
        <v>6.8206359431625838</v>
      </c>
      <c r="R64" s="2"/>
    </row>
    <row r="65" spans="1:18" s="47" customFormat="1" x14ac:dyDescent="0.25">
      <c r="A65" s="1"/>
      <c r="B65" s="6" t="s">
        <v>37</v>
      </c>
      <c r="C65" s="6"/>
      <c r="D65" s="6"/>
      <c r="E65" s="6"/>
      <c r="F65" s="6"/>
      <c r="G65" s="27">
        <f>(G63+D63-D64)</f>
        <v>31406.230757376157</v>
      </c>
      <c r="H65" s="28">
        <f>(H63+D63-D64)</f>
        <v>24532.601294733511</v>
      </c>
      <c r="I65" s="13"/>
      <c r="J65" s="2"/>
      <c r="K65" s="49" t="s">
        <v>1</v>
      </c>
      <c r="L65" s="53">
        <v>8.7161150522934716E-2</v>
      </c>
      <c r="M65" s="76">
        <v>4.5037074895880203</v>
      </c>
      <c r="N65" s="77">
        <v>4.7253577264873261</v>
      </c>
      <c r="O65" s="78">
        <v>5.1568762324719479</v>
      </c>
      <c r="P65" s="77">
        <v>5.3368439665405454</v>
      </c>
      <c r="Q65" s="76">
        <v>5.7733613228848668</v>
      </c>
      <c r="R65" s="2"/>
    </row>
    <row r="66" spans="1:18" s="47" customFormat="1" x14ac:dyDescent="0.25">
      <c r="A66" s="1"/>
      <c r="B66" s="3" t="s">
        <v>38</v>
      </c>
      <c r="C66" s="3"/>
      <c r="D66" s="33">
        <f>5558878/1000</f>
        <v>5558.8779999999997</v>
      </c>
      <c r="E66" s="3"/>
      <c r="F66" s="3"/>
      <c r="G66" s="3"/>
      <c r="H66" s="3"/>
      <c r="I66" s="13"/>
      <c r="J66" s="2"/>
      <c r="K66" s="49"/>
      <c r="L66" s="52">
        <f>L65+1%</f>
        <v>9.7161150522934711E-2</v>
      </c>
      <c r="M66" s="76">
        <v>4.0514505699324941</v>
      </c>
      <c r="N66" s="77">
        <v>4.2210227933308424</v>
      </c>
      <c r="O66" s="77">
        <v>4.543452991748989</v>
      </c>
      <c r="P66" s="77">
        <v>4.675090890361278</v>
      </c>
      <c r="Q66" s="76">
        <v>4.9879246122094987</v>
      </c>
      <c r="R66" s="2"/>
    </row>
    <row r="67" spans="1:18" s="47" customFormat="1" x14ac:dyDescent="0.25">
      <c r="A67" s="1"/>
      <c r="B67" s="15" t="s">
        <v>39</v>
      </c>
      <c r="C67" s="15"/>
      <c r="D67" s="55">
        <f>D66*J5</f>
        <v>21901.979319999999</v>
      </c>
      <c r="E67" s="15"/>
      <c r="F67" s="15"/>
      <c r="G67" s="15"/>
      <c r="H67" s="29"/>
      <c r="I67" s="1"/>
      <c r="J67" s="2"/>
      <c r="K67" s="49"/>
      <c r="L67" s="52">
        <f>L66+2%</f>
        <v>0.11716115052293471</v>
      </c>
      <c r="M67" s="76">
        <v>3.3494124481919081</v>
      </c>
      <c r="N67" s="76">
        <v>3.4533273134399769</v>
      </c>
      <c r="O67" s="76">
        <v>3.6437565261318565</v>
      </c>
      <c r="P67" s="76">
        <v>3.7189803638693633</v>
      </c>
      <c r="Q67" s="76">
        <v>3.8923396822522935</v>
      </c>
      <c r="R67" s="2"/>
    </row>
    <row r="68" spans="1:18" s="47" customFormat="1" x14ac:dyDescent="0.25">
      <c r="A68" s="1"/>
      <c r="B68" s="6" t="s">
        <v>40</v>
      </c>
      <c r="C68" s="6" t="s">
        <v>41</v>
      </c>
      <c r="D68" s="30">
        <f>(G68+H68)/2</f>
        <v>5.0314858548892119</v>
      </c>
      <c r="E68" s="2"/>
      <c r="F68" s="6"/>
      <c r="G68" s="30">
        <f>G65/D66</f>
        <v>5.6497427641650271</v>
      </c>
      <c r="H68" s="30">
        <f>H65/D66</f>
        <v>4.4132289456133975</v>
      </c>
      <c r="I68" s="13"/>
      <c r="J68" s="2"/>
      <c r="K68" s="2"/>
      <c r="L68" s="2"/>
      <c r="M68" s="2"/>
      <c r="N68" s="2"/>
      <c r="O68" s="2"/>
      <c r="P68" s="2"/>
      <c r="Q68" s="2"/>
      <c r="R68" s="2"/>
    </row>
  </sheetData>
  <sortState xmlns:xlrd2="http://schemas.microsoft.com/office/spreadsheetml/2017/richdata2" columnSort="1" ref="C10:H58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F11" sqref="F11"/>
    </sheetView>
  </sheetViews>
  <sheetFormatPr defaultRowHeight="15" x14ac:dyDescent="0.25"/>
  <cols>
    <col min="3" max="3" width="11.7109375" customWidth="1"/>
    <col min="11" max="11" width="10.57031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4" t="s">
        <v>1</v>
      </c>
      <c r="C2" s="2"/>
      <c r="D2" s="2"/>
      <c r="E2" s="2"/>
      <c r="F2" s="2"/>
      <c r="G2" s="2"/>
      <c r="H2" s="2"/>
      <c r="I2" s="2"/>
      <c r="J2" s="2"/>
      <c r="K2" s="2"/>
      <c r="L2" s="35"/>
    </row>
    <row r="3" spans="1:14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2"/>
    </row>
    <row r="4" spans="1:14" x14ac:dyDescent="0.25">
      <c r="A4" s="37" t="s">
        <v>43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44</v>
      </c>
      <c r="C6" s="2"/>
      <c r="D6" s="38">
        <v>0.25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45</v>
      </c>
      <c r="C7" s="2"/>
      <c r="D7" s="38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46</v>
      </c>
      <c r="C8" s="2"/>
      <c r="D8" s="39">
        <v>1.1100000000000001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47</v>
      </c>
      <c r="C9" s="2"/>
      <c r="D9" s="38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1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37</v>
      </c>
      <c r="B12" s="2"/>
      <c r="C12" s="17">
        <f>'NOK DCF'!D67</f>
        <v>21901.979319999999</v>
      </c>
      <c r="D12" s="2"/>
      <c r="E12" s="2" t="s">
        <v>36</v>
      </c>
      <c r="F12" s="2"/>
      <c r="G12" s="17">
        <f>'NOK DCF'!D64</f>
        <v>7250</v>
      </c>
      <c r="H12" s="2"/>
      <c r="I12" s="2" t="s">
        <v>48</v>
      </c>
      <c r="J12" s="2"/>
      <c r="K12" s="17">
        <f>G12+C12</f>
        <v>29151.979319999999</v>
      </c>
      <c r="L12" s="2"/>
    </row>
    <row r="13" spans="1:14" x14ac:dyDescent="0.25">
      <c r="A13" s="2" t="s">
        <v>49</v>
      </c>
      <c r="B13" s="2"/>
      <c r="C13" s="40">
        <f>C12/K12</f>
        <v>0.75130333620173551</v>
      </c>
      <c r="D13" s="2"/>
      <c r="E13" s="2" t="s">
        <v>50</v>
      </c>
      <c r="F13" s="2"/>
      <c r="G13" s="41">
        <f>G12/K12</f>
        <v>0.24869666379826452</v>
      </c>
      <c r="H13" s="2"/>
      <c r="I13" s="2"/>
      <c r="J13" s="2"/>
      <c r="K13" s="2"/>
      <c r="L13" s="2"/>
      <c r="M13" s="31"/>
    </row>
    <row r="14" spans="1:14" x14ac:dyDescent="0.25">
      <c r="A14" s="2" t="s">
        <v>51</v>
      </c>
      <c r="B14" s="2"/>
      <c r="C14" s="42">
        <f>D7+D8*(D9)</f>
        <v>0.1036</v>
      </c>
      <c r="D14" s="2"/>
      <c r="E14" s="2" t="s">
        <v>52</v>
      </c>
      <c r="F14" s="2"/>
      <c r="G14" s="43">
        <v>0.06</v>
      </c>
      <c r="H14" s="2"/>
      <c r="I14" s="44" t="s">
        <v>1</v>
      </c>
      <c r="J14" s="45"/>
      <c r="K14" s="46">
        <f>C13*C14+G14*G13*(1-D6)</f>
        <v>8.9026375501421701E-2</v>
      </c>
      <c r="L14" s="2"/>
    </row>
    <row r="15" spans="1:14" x14ac:dyDescent="0.25">
      <c r="D15" s="31"/>
      <c r="G15" s="31"/>
      <c r="J15" s="31"/>
      <c r="M15" s="31"/>
    </row>
    <row r="16" spans="1:14" x14ac:dyDescent="0.25">
      <c r="A16" t="s">
        <v>42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</row>
    <row r="17" spans="4:13" x14ac:dyDescent="0.25">
      <c r="D17" s="31"/>
      <c r="G17" s="31"/>
      <c r="J17" s="31"/>
      <c r="M17" s="31"/>
    </row>
    <row r="21" spans="4:13" x14ac:dyDescent="0.25">
      <c r="D21" s="31"/>
      <c r="E21" s="31"/>
      <c r="F21" s="31"/>
      <c r="G21" s="31"/>
      <c r="H21" s="31"/>
      <c r="I21" s="31"/>
      <c r="J21" s="31"/>
      <c r="K21" s="31"/>
      <c r="L21" s="31"/>
      <c r="M21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AD78-4B92-47AA-9CDB-7744175AC6C6}">
  <dimension ref="A2:S49"/>
  <sheetViews>
    <sheetView workbookViewId="0">
      <selection activeCell="L27" sqref="L27"/>
    </sheetView>
  </sheetViews>
  <sheetFormatPr defaultRowHeight="15" x14ac:dyDescent="0.25"/>
  <cols>
    <col min="1" max="1" width="34.42578125" customWidth="1"/>
    <col min="4" max="6" width="12.7109375" customWidth="1"/>
    <col min="11" max="11" width="50.5703125" customWidth="1"/>
  </cols>
  <sheetData>
    <row r="2" spans="1:19" x14ac:dyDescent="0.25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L2" s="67"/>
      <c r="M2" s="67"/>
      <c r="N2" s="67"/>
      <c r="O2">
        <v>2017</v>
      </c>
      <c r="P2">
        <v>2018</v>
      </c>
      <c r="Q2">
        <v>2019</v>
      </c>
      <c r="R2" s="67"/>
      <c r="S2" s="67"/>
    </row>
    <row r="3" spans="1:19" x14ac:dyDescent="0.25">
      <c r="A3" s="60" t="s">
        <v>42</v>
      </c>
      <c r="B3" s="60" t="s">
        <v>42</v>
      </c>
      <c r="C3" s="60" t="s">
        <v>42</v>
      </c>
      <c r="D3" s="60" t="s">
        <v>42</v>
      </c>
      <c r="E3" s="60">
        <v>2020</v>
      </c>
      <c r="F3" s="60">
        <v>2021</v>
      </c>
      <c r="G3" s="60">
        <v>2022</v>
      </c>
      <c r="H3" s="60" t="s">
        <v>42</v>
      </c>
      <c r="I3" s="60" t="s">
        <v>42</v>
      </c>
      <c r="K3" s="56" t="s">
        <v>99</v>
      </c>
      <c r="L3" s="67"/>
      <c r="M3" s="60" t="s">
        <v>58</v>
      </c>
      <c r="N3" s="67"/>
      <c r="O3" s="60" t="s">
        <v>59</v>
      </c>
      <c r="P3" s="60" t="s">
        <v>59</v>
      </c>
      <c r="Q3" s="60" t="s">
        <v>59</v>
      </c>
      <c r="R3" s="67"/>
      <c r="S3" s="67"/>
    </row>
    <row r="4" spans="1:19" x14ac:dyDescent="0.25">
      <c r="A4" s="56" t="s">
        <v>100</v>
      </c>
      <c r="B4" s="60" t="s">
        <v>42</v>
      </c>
      <c r="C4" s="60" t="s">
        <v>58</v>
      </c>
      <c r="D4" s="60" t="s">
        <v>42</v>
      </c>
      <c r="E4" s="60" t="s">
        <v>59</v>
      </c>
      <c r="F4" s="60" t="s">
        <v>59</v>
      </c>
      <c r="G4" s="60" t="s">
        <v>59</v>
      </c>
      <c r="H4" s="60" t="s">
        <v>42</v>
      </c>
      <c r="I4" s="60" t="s">
        <v>42</v>
      </c>
      <c r="K4" s="56" t="s">
        <v>101</v>
      </c>
      <c r="M4" s="57" t="s">
        <v>102</v>
      </c>
      <c r="N4" s="56"/>
      <c r="O4" s="73">
        <v>23147</v>
      </c>
      <c r="P4" s="73">
        <v>22563</v>
      </c>
      <c r="Q4" s="73">
        <v>23315</v>
      </c>
      <c r="R4" s="56"/>
      <c r="S4" s="56"/>
    </row>
    <row r="5" spans="1:19" x14ac:dyDescent="0.25">
      <c r="A5" s="56" t="s">
        <v>101</v>
      </c>
      <c r="C5" s="57" t="s">
        <v>103</v>
      </c>
      <c r="D5" s="56"/>
      <c r="E5" s="71">
        <v>21852</v>
      </c>
      <c r="F5" s="71">
        <v>22202</v>
      </c>
      <c r="G5" s="71">
        <v>24911</v>
      </c>
      <c r="H5" s="56"/>
      <c r="I5" s="56"/>
      <c r="K5" t="s">
        <v>104</v>
      </c>
      <c r="M5" s="31">
        <v>8</v>
      </c>
      <c r="O5" s="74">
        <v>-14008</v>
      </c>
      <c r="P5" s="74">
        <v>-14117</v>
      </c>
      <c r="Q5" s="74">
        <v>-14989</v>
      </c>
    </row>
    <row r="6" spans="1:19" x14ac:dyDescent="0.25">
      <c r="A6" t="s">
        <v>104</v>
      </c>
      <c r="C6" s="61">
        <v>7</v>
      </c>
      <c r="E6" s="72">
        <v>-13659</v>
      </c>
      <c r="F6" s="72">
        <v>-13368</v>
      </c>
      <c r="G6" s="72">
        <v>-14689</v>
      </c>
      <c r="K6" s="56" t="s">
        <v>105</v>
      </c>
      <c r="M6" s="57"/>
      <c r="N6" s="56"/>
      <c r="O6" s="73">
        <v>9139</v>
      </c>
      <c r="P6" s="73">
        <v>8446</v>
      </c>
      <c r="Q6" s="73">
        <v>8326</v>
      </c>
      <c r="R6" s="56"/>
      <c r="S6" s="56"/>
    </row>
    <row r="7" spans="1:19" x14ac:dyDescent="0.25">
      <c r="A7" s="56" t="s">
        <v>105</v>
      </c>
      <c r="C7" s="57" t="s">
        <v>42</v>
      </c>
      <c r="D7" s="56"/>
      <c r="E7" s="71">
        <v>8193</v>
      </c>
      <c r="F7" s="71">
        <v>8834</v>
      </c>
      <c r="G7" s="71">
        <v>10222</v>
      </c>
      <c r="H7" s="56"/>
      <c r="I7" s="56"/>
      <c r="K7" t="s">
        <v>106</v>
      </c>
      <c r="M7" s="31">
        <v>8</v>
      </c>
      <c r="O7" s="74">
        <v>-4916</v>
      </c>
      <c r="P7" s="74">
        <v>-4620</v>
      </c>
      <c r="Q7" s="74">
        <v>-4411</v>
      </c>
    </row>
    <row r="8" spans="1:19" x14ac:dyDescent="0.25">
      <c r="A8" t="s">
        <v>106</v>
      </c>
      <c r="C8" s="61">
        <v>7</v>
      </c>
      <c r="E8" s="72">
        <v>-4087</v>
      </c>
      <c r="F8" s="72">
        <v>-4214</v>
      </c>
      <c r="G8" s="72">
        <v>-4550</v>
      </c>
      <c r="K8" t="s">
        <v>107</v>
      </c>
      <c r="M8" s="31">
        <v>8</v>
      </c>
      <c r="O8" s="74">
        <v>-3615</v>
      </c>
      <c r="P8" s="74">
        <v>-3463</v>
      </c>
      <c r="Q8" s="74">
        <v>-3101</v>
      </c>
    </row>
    <row r="9" spans="1:19" x14ac:dyDescent="0.25">
      <c r="A9" t="s">
        <v>107</v>
      </c>
      <c r="C9" s="61">
        <v>7</v>
      </c>
      <c r="E9" s="72">
        <v>-2898</v>
      </c>
      <c r="F9" s="72">
        <v>-2792</v>
      </c>
      <c r="G9" s="72">
        <v>-3013</v>
      </c>
      <c r="K9" t="s">
        <v>108</v>
      </c>
      <c r="M9" s="31">
        <v>10</v>
      </c>
      <c r="O9" s="74">
        <v>363</v>
      </c>
      <c r="P9" s="74">
        <v>290</v>
      </c>
      <c r="Q9" s="74">
        <v>424</v>
      </c>
    </row>
    <row r="10" spans="1:19" x14ac:dyDescent="0.25">
      <c r="A10" t="s">
        <v>108</v>
      </c>
      <c r="C10" s="61">
        <v>9</v>
      </c>
      <c r="E10" s="72">
        <v>126</v>
      </c>
      <c r="F10" s="72">
        <v>443</v>
      </c>
      <c r="G10" s="72">
        <v>98</v>
      </c>
      <c r="K10" t="s">
        <v>109</v>
      </c>
      <c r="M10" s="57" t="s">
        <v>110</v>
      </c>
      <c r="O10" s="74">
        <v>-955</v>
      </c>
      <c r="P10" s="74">
        <v>-712</v>
      </c>
      <c r="Q10" s="74">
        <v>-753</v>
      </c>
    </row>
    <row r="11" spans="1:19" x14ac:dyDescent="0.25">
      <c r="A11" t="s">
        <v>109</v>
      </c>
      <c r="C11" s="57" t="s">
        <v>111</v>
      </c>
      <c r="E11" s="72">
        <v>-449</v>
      </c>
      <c r="F11" s="72">
        <v>-113</v>
      </c>
      <c r="G11" s="72">
        <v>-439</v>
      </c>
      <c r="K11" s="56" t="s">
        <v>112</v>
      </c>
      <c r="L11" s="56"/>
      <c r="M11" s="60"/>
      <c r="N11" s="56"/>
      <c r="O11" s="73">
        <v>16</v>
      </c>
      <c r="P11" s="73">
        <v>-59</v>
      </c>
      <c r="Q11" s="73">
        <v>485</v>
      </c>
      <c r="R11" s="56"/>
      <c r="S11" s="56"/>
    </row>
    <row r="12" spans="1:19" x14ac:dyDescent="0.25">
      <c r="A12" s="56" t="s">
        <v>113</v>
      </c>
      <c r="B12" s="56"/>
      <c r="C12" s="60"/>
      <c r="D12" s="56"/>
      <c r="E12" s="71">
        <v>885</v>
      </c>
      <c r="F12" s="71">
        <v>2158</v>
      </c>
      <c r="G12" s="71">
        <v>2318</v>
      </c>
      <c r="H12" s="56"/>
      <c r="I12" s="56"/>
      <c r="K12" t="s">
        <v>114</v>
      </c>
      <c r="M12" s="31">
        <v>34</v>
      </c>
      <c r="O12" s="74">
        <v>11</v>
      </c>
      <c r="P12" s="74">
        <v>12</v>
      </c>
      <c r="Q12" s="74">
        <v>12</v>
      </c>
    </row>
    <row r="13" spans="1:19" x14ac:dyDescent="0.25">
      <c r="A13" t="s">
        <v>114</v>
      </c>
      <c r="C13" s="61">
        <v>31</v>
      </c>
      <c r="E13" s="72">
        <v>22</v>
      </c>
      <c r="F13" s="72">
        <v>9</v>
      </c>
      <c r="G13" s="72">
        <v>-26</v>
      </c>
      <c r="K13" t="s">
        <v>115</v>
      </c>
      <c r="M13" s="31">
        <v>11</v>
      </c>
      <c r="O13" s="74">
        <v>-537</v>
      </c>
      <c r="P13" s="74">
        <v>-313</v>
      </c>
      <c r="Q13" s="74">
        <v>-341</v>
      </c>
    </row>
    <row r="14" spans="1:19" x14ac:dyDescent="0.25">
      <c r="A14" t="s">
        <v>116</v>
      </c>
      <c r="B14" t="s">
        <v>42</v>
      </c>
      <c r="C14" s="61">
        <v>10</v>
      </c>
      <c r="D14" t="s">
        <v>42</v>
      </c>
      <c r="E14" s="72">
        <v>165</v>
      </c>
      <c r="F14" s="72">
        <v>43</v>
      </c>
      <c r="G14" s="72">
        <v>86</v>
      </c>
      <c r="K14" s="56" t="s">
        <v>117</v>
      </c>
      <c r="L14" s="56"/>
      <c r="M14" s="60"/>
      <c r="N14" s="56"/>
      <c r="O14" s="73">
        <v>-510</v>
      </c>
      <c r="P14" s="73">
        <v>-360</v>
      </c>
      <c r="Q14" s="73">
        <v>156</v>
      </c>
      <c r="R14" s="56"/>
      <c r="S14" s="56"/>
    </row>
    <row r="15" spans="1:19" x14ac:dyDescent="0.25">
      <c r="A15" t="s">
        <v>118</v>
      </c>
      <c r="C15" s="61">
        <v>10</v>
      </c>
      <c r="E15" s="72">
        <v>-329</v>
      </c>
      <c r="F15" s="72">
        <v>-284</v>
      </c>
      <c r="G15" s="72">
        <v>-194</v>
      </c>
      <c r="K15" t="s">
        <v>119</v>
      </c>
      <c r="M15" s="31">
        <v>12</v>
      </c>
      <c r="O15" s="74">
        <v>-927</v>
      </c>
      <c r="P15" s="74">
        <v>-189</v>
      </c>
      <c r="Q15" s="74">
        <v>-138</v>
      </c>
    </row>
    <row r="16" spans="1:19" x14ac:dyDescent="0.25">
      <c r="A16" s="56" t="s">
        <v>120</v>
      </c>
      <c r="B16" s="56"/>
      <c r="C16" s="60"/>
      <c r="D16" s="56"/>
      <c r="E16" s="71">
        <v>743</v>
      </c>
      <c r="F16" s="71">
        <v>1926</v>
      </c>
      <c r="G16" s="71">
        <v>2184</v>
      </c>
      <c r="H16" s="56"/>
      <c r="I16" s="56"/>
      <c r="K16" s="56" t="s">
        <v>121</v>
      </c>
      <c r="M16" s="57"/>
      <c r="N16" s="56"/>
      <c r="O16" s="73">
        <v>-1437</v>
      </c>
      <c r="P16" s="73">
        <v>-549</v>
      </c>
      <c r="Q16" s="73">
        <v>18</v>
      </c>
      <c r="R16" s="56"/>
      <c r="S16" s="56"/>
    </row>
    <row r="17" spans="1:19" x14ac:dyDescent="0.25">
      <c r="A17" t="s">
        <v>122</v>
      </c>
      <c r="C17" s="61">
        <v>11</v>
      </c>
      <c r="E17" s="72">
        <v>-3256</v>
      </c>
      <c r="F17" s="72">
        <v>-272</v>
      </c>
      <c r="G17" s="72">
        <v>2026</v>
      </c>
      <c r="K17" s="56" t="s">
        <v>123</v>
      </c>
      <c r="L17" s="56"/>
      <c r="M17" s="60"/>
      <c r="N17" s="56"/>
      <c r="O17" s="73"/>
      <c r="P17" s="73"/>
      <c r="Q17" s="73"/>
      <c r="R17" s="56"/>
      <c r="S17" s="56"/>
    </row>
    <row r="18" spans="1:19" x14ac:dyDescent="0.25">
      <c r="A18" s="56" t="s">
        <v>124</v>
      </c>
      <c r="C18" s="57"/>
      <c r="D18" s="56"/>
      <c r="E18" s="71">
        <v>-2513</v>
      </c>
      <c r="F18" s="71">
        <v>1654</v>
      </c>
      <c r="G18" s="71">
        <v>4210</v>
      </c>
      <c r="H18" s="56"/>
      <c r="I18" s="56"/>
      <c r="K18" t="s">
        <v>125</v>
      </c>
      <c r="L18" s="56"/>
      <c r="M18" s="60"/>
      <c r="O18" s="74">
        <v>-1473</v>
      </c>
      <c r="P18" s="74">
        <v>-554</v>
      </c>
      <c r="Q18" s="74">
        <v>14</v>
      </c>
    </row>
    <row r="19" spans="1:19" x14ac:dyDescent="0.25">
      <c r="A19" t="s">
        <v>126</v>
      </c>
      <c r="C19" s="57" t="s">
        <v>42</v>
      </c>
      <c r="E19" s="72">
        <v>-3</v>
      </c>
      <c r="F19" s="72">
        <v>-9</v>
      </c>
      <c r="G19" s="72">
        <v>49</v>
      </c>
      <c r="K19" t="s">
        <v>127</v>
      </c>
      <c r="L19" s="56"/>
      <c r="M19" s="60"/>
      <c r="O19" s="74">
        <v>36</v>
      </c>
      <c r="P19" s="74">
        <v>5</v>
      </c>
      <c r="Q19" s="74">
        <v>4</v>
      </c>
    </row>
    <row r="20" spans="1:19" x14ac:dyDescent="0.25">
      <c r="A20" s="56" t="s">
        <v>128</v>
      </c>
      <c r="C20" s="57"/>
      <c r="D20" s="56"/>
      <c r="E20" s="71">
        <v>-2516</v>
      </c>
      <c r="F20" s="71">
        <v>1645</v>
      </c>
      <c r="G20" s="71">
        <v>4259</v>
      </c>
      <c r="H20" s="56"/>
      <c r="I20" s="56"/>
      <c r="K20" s="56" t="s">
        <v>121</v>
      </c>
      <c r="L20" s="56"/>
      <c r="M20" s="60"/>
      <c r="N20" s="56"/>
      <c r="O20" s="73">
        <v>-1437</v>
      </c>
      <c r="P20" s="73">
        <v>-549</v>
      </c>
      <c r="Q20" s="73">
        <v>18</v>
      </c>
      <c r="R20" s="56"/>
      <c r="S20" s="56"/>
    </row>
    <row r="21" spans="1:19" x14ac:dyDescent="0.25">
      <c r="A21" s="56" t="s">
        <v>129</v>
      </c>
      <c r="B21" s="56"/>
      <c r="C21" s="60"/>
      <c r="D21" s="56"/>
      <c r="E21" s="71"/>
      <c r="F21" s="71"/>
      <c r="G21" s="71"/>
      <c r="H21" s="56"/>
      <c r="I21" s="56"/>
      <c r="K21" s="56" t="s">
        <v>130</v>
      </c>
      <c r="L21" s="56"/>
      <c r="M21" s="60"/>
      <c r="N21" s="56"/>
      <c r="O21" s="73"/>
      <c r="P21" s="73"/>
      <c r="Q21" s="73"/>
      <c r="R21" s="56"/>
      <c r="S21" s="56"/>
    </row>
    <row r="22" spans="1:19" x14ac:dyDescent="0.25">
      <c r="A22" t="s">
        <v>125</v>
      </c>
      <c r="C22" s="57"/>
      <c r="E22" s="72">
        <v>-2523</v>
      </c>
      <c r="F22" s="72">
        <v>1623</v>
      </c>
      <c r="G22" s="72">
        <v>4250</v>
      </c>
      <c r="K22" t="s">
        <v>125</v>
      </c>
      <c r="L22" s="56"/>
      <c r="M22" s="60"/>
      <c r="O22" s="74">
        <v>-21</v>
      </c>
      <c r="P22" s="74">
        <v>214</v>
      </c>
      <c r="Q22" s="74">
        <v>-7</v>
      </c>
    </row>
    <row r="23" spans="1:19" x14ac:dyDescent="0.25">
      <c r="A23" t="s">
        <v>127</v>
      </c>
      <c r="C23" s="57"/>
      <c r="E23" s="72">
        <v>7</v>
      </c>
      <c r="F23" s="72">
        <v>22</v>
      </c>
      <c r="G23" s="72">
        <v>9</v>
      </c>
      <c r="K23" t="s">
        <v>127</v>
      </c>
      <c r="L23" s="56"/>
      <c r="M23" s="60"/>
      <c r="O23" s="74" t="s">
        <v>87</v>
      </c>
      <c r="P23" s="74" t="s">
        <v>87</v>
      </c>
      <c r="Q23" s="74" t="s">
        <v>87</v>
      </c>
    </row>
    <row r="24" spans="1:19" x14ac:dyDescent="0.25">
      <c r="A24" s="56" t="s">
        <v>42</v>
      </c>
      <c r="B24" t="s">
        <v>42</v>
      </c>
      <c r="C24" s="57" t="s">
        <v>42</v>
      </c>
      <c r="D24" s="56" t="s">
        <v>42</v>
      </c>
      <c r="E24" s="71" t="s">
        <v>42</v>
      </c>
      <c r="F24" s="71" t="s">
        <v>42</v>
      </c>
      <c r="G24" s="71" t="s">
        <v>42</v>
      </c>
      <c r="H24" s="56" t="s">
        <v>42</v>
      </c>
      <c r="I24" s="56" t="s">
        <v>42</v>
      </c>
      <c r="K24" s="56" t="s">
        <v>131</v>
      </c>
      <c r="M24" s="31">
        <v>6</v>
      </c>
      <c r="N24" s="56"/>
      <c r="O24" s="73">
        <v>-21</v>
      </c>
      <c r="P24" s="73">
        <v>214</v>
      </c>
      <c r="Q24" s="73">
        <v>-7</v>
      </c>
      <c r="R24" s="56"/>
      <c r="S24" s="56"/>
    </row>
    <row r="25" spans="1:19" x14ac:dyDescent="0.25">
      <c r="A25" s="56" t="s">
        <v>132</v>
      </c>
      <c r="C25" s="61">
        <v>12</v>
      </c>
      <c r="D25" s="56"/>
      <c r="E25" s="71" t="s">
        <v>61</v>
      </c>
      <c r="F25" s="71" t="s">
        <v>61</v>
      </c>
      <c r="G25" s="71" t="s">
        <v>61</v>
      </c>
      <c r="H25" s="56"/>
      <c r="I25" s="56"/>
      <c r="K25" s="56" t="s">
        <v>133</v>
      </c>
      <c r="L25" s="56"/>
      <c r="M25" s="60"/>
      <c r="N25" s="56"/>
      <c r="O25" s="73"/>
      <c r="P25" s="73"/>
      <c r="Q25" s="73"/>
      <c r="R25" s="56"/>
      <c r="S25" s="56"/>
    </row>
    <row r="26" spans="1:19" x14ac:dyDescent="0.25">
      <c r="A26" s="56" t="s">
        <v>55</v>
      </c>
      <c r="B26" s="56"/>
      <c r="C26" s="60"/>
      <c r="D26" s="56"/>
      <c r="E26" s="71"/>
      <c r="F26" s="71"/>
      <c r="G26" s="71"/>
      <c r="H26" s="56"/>
      <c r="I26" s="56"/>
      <c r="K26" t="s">
        <v>125</v>
      </c>
      <c r="M26" s="57"/>
      <c r="O26" s="74">
        <v>-1494</v>
      </c>
      <c r="P26" s="74">
        <v>-340</v>
      </c>
      <c r="Q26" s="74">
        <v>7</v>
      </c>
    </row>
    <row r="27" spans="1:19" x14ac:dyDescent="0.25">
      <c r="A27" t="s">
        <v>134</v>
      </c>
      <c r="B27" s="56"/>
      <c r="C27" s="60"/>
      <c r="E27" s="72">
        <v>-0.45</v>
      </c>
      <c r="F27" s="72">
        <v>0.28999999999999998</v>
      </c>
      <c r="G27" s="72">
        <v>0.75</v>
      </c>
      <c r="K27" t="s">
        <v>127</v>
      </c>
      <c r="M27" s="57"/>
      <c r="O27" s="74">
        <v>36</v>
      </c>
      <c r="P27" s="74">
        <v>5</v>
      </c>
      <c r="Q27" s="74">
        <v>4</v>
      </c>
    </row>
    <row r="28" spans="1:19" x14ac:dyDescent="0.25">
      <c r="A28" t="s">
        <v>128</v>
      </c>
      <c r="B28" s="56"/>
      <c r="C28" s="60"/>
      <c r="E28" s="72">
        <v>-0.45</v>
      </c>
      <c r="F28" s="72">
        <v>0.28999999999999998</v>
      </c>
      <c r="G28" s="72">
        <v>0.76</v>
      </c>
      <c r="K28" s="56" t="s">
        <v>128</v>
      </c>
      <c r="M28" s="57"/>
      <c r="N28" s="56"/>
      <c r="O28" s="73">
        <v>-1458</v>
      </c>
      <c r="P28" s="73">
        <v>-335</v>
      </c>
      <c r="Q28" s="73">
        <v>11</v>
      </c>
      <c r="R28" s="56"/>
      <c r="S28" s="56"/>
    </row>
    <row r="29" spans="1:19" x14ac:dyDescent="0.25">
      <c r="A29" s="56" t="s">
        <v>56</v>
      </c>
      <c r="B29" s="56"/>
      <c r="C29" s="60"/>
      <c r="E29" s="72" t="s">
        <v>42</v>
      </c>
      <c r="F29" s="72"/>
      <c r="G29" s="72"/>
      <c r="M29" s="57"/>
      <c r="O29" s="74"/>
      <c r="P29" s="74"/>
      <c r="Q29" s="74"/>
    </row>
    <row r="30" spans="1:19" x14ac:dyDescent="0.25">
      <c r="A30" t="s">
        <v>134</v>
      </c>
      <c r="B30" s="56"/>
      <c r="C30" s="60"/>
      <c r="E30" s="72">
        <v>-0.45</v>
      </c>
      <c r="F30" s="72">
        <v>0.28999999999999998</v>
      </c>
      <c r="G30" s="72">
        <v>0.74</v>
      </c>
      <c r="M30" s="57"/>
      <c r="O30" s="74"/>
      <c r="P30" s="74"/>
      <c r="Q30" s="74"/>
    </row>
    <row r="31" spans="1:19" x14ac:dyDescent="0.25">
      <c r="A31" t="s">
        <v>128</v>
      </c>
      <c r="C31" s="57"/>
      <c r="E31" s="72">
        <v>-0.45</v>
      </c>
      <c r="F31" s="72">
        <v>0.28999999999999998</v>
      </c>
      <c r="G31" s="72">
        <v>0.75</v>
      </c>
      <c r="K31" s="56" t="s">
        <v>132</v>
      </c>
      <c r="M31" s="31">
        <v>13</v>
      </c>
      <c r="N31" s="56"/>
      <c r="O31" s="73" t="s">
        <v>61</v>
      </c>
      <c r="P31" s="73" t="s">
        <v>61</v>
      </c>
      <c r="Q31" s="73" t="s">
        <v>61</v>
      </c>
      <c r="R31" s="56"/>
      <c r="S31" s="56"/>
    </row>
    <row r="32" spans="1:19" x14ac:dyDescent="0.25">
      <c r="K32" s="56" t="s">
        <v>135</v>
      </c>
      <c r="L32" s="56"/>
      <c r="M32" s="60"/>
      <c r="N32" s="56"/>
      <c r="O32" s="73"/>
      <c r="P32" s="73"/>
      <c r="Q32" s="73"/>
      <c r="R32" s="56"/>
      <c r="S32" s="56"/>
    </row>
    <row r="33" spans="11:19" x14ac:dyDescent="0.25">
      <c r="K33" t="s">
        <v>134</v>
      </c>
      <c r="L33" s="56"/>
      <c r="M33" s="60"/>
      <c r="O33" s="74">
        <v>-0.26</v>
      </c>
      <c r="P33" s="74">
        <v>-0.1</v>
      </c>
      <c r="Q33" s="74">
        <v>0</v>
      </c>
    </row>
    <row r="34" spans="11:19" x14ac:dyDescent="0.25">
      <c r="K34" t="s">
        <v>136</v>
      </c>
      <c r="L34" s="56"/>
      <c r="M34" s="60"/>
      <c r="O34" s="74">
        <v>0</v>
      </c>
      <c r="P34" s="74">
        <v>0.04</v>
      </c>
      <c r="Q34" s="74">
        <v>0</v>
      </c>
    </row>
    <row r="35" spans="11:19" x14ac:dyDescent="0.25">
      <c r="K35" t="s">
        <v>137</v>
      </c>
      <c r="L35" s="56"/>
      <c r="M35" s="60"/>
      <c r="O35" s="74">
        <v>-0.26</v>
      </c>
      <c r="P35" s="74">
        <v>-0.06</v>
      </c>
      <c r="Q35" s="74">
        <v>0</v>
      </c>
    </row>
    <row r="36" spans="11:19" x14ac:dyDescent="0.25">
      <c r="K36" s="56" t="s">
        <v>138</v>
      </c>
      <c r="L36" s="56"/>
      <c r="M36" s="60"/>
      <c r="O36" s="74"/>
      <c r="P36" s="74"/>
      <c r="Q36" s="74"/>
    </row>
    <row r="37" spans="11:19" x14ac:dyDescent="0.25">
      <c r="K37" t="s">
        <v>134</v>
      </c>
      <c r="L37" s="56"/>
      <c r="M37" s="60"/>
      <c r="O37" s="74">
        <v>-0.26</v>
      </c>
      <c r="P37" s="74">
        <v>-0.1</v>
      </c>
      <c r="Q37" s="74">
        <v>0</v>
      </c>
    </row>
    <row r="38" spans="11:19" x14ac:dyDescent="0.25">
      <c r="K38" t="s">
        <v>136</v>
      </c>
      <c r="L38" s="56"/>
      <c r="M38" s="60"/>
      <c r="O38" s="74">
        <v>0</v>
      </c>
      <c r="P38" s="74">
        <v>0.04</v>
      </c>
      <c r="Q38" s="74">
        <v>0</v>
      </c>
    </row>
    <row r="39" spans="11:19" x14ac:dyDescent="0.25">
      <c r="K39" t="s">
        <v>137</v>
      </c>
      <c r="M39" s="57"/>
      <c r="O39" s="74">
        <v>-0.26</v>
      </c>
      <c r="P39" s="74">
        <v>-0.06</v>
      </c>
      <c r="Q39" s="74">
        <v>0</v>
      </c>
    </row>
    <row r="40" spans="11:19" x14ac:dyDescent="0.25">
      <c r="M40" s="57"/>
      <c r="O40" s="74"/>
      <c r="P40" s="74"/>
      <c r="Q40" s="74"/>
    </row>
    <row r="41" spans="11:19" x14ac:dyDescent="0.25">
      <c r="K41" s="56" t="s">
        <v>139</v>
      </c>
      <c r="L41" s="56"/>
      <c r="M41" s="31">
        <v>13</v>
      </c>
      <c r="N41" s="56"/>
      <c r="O41" s="73" t="s">
        <v>140</v>
      </c>
      <c r="P41" s="73" t="s">
        <v>140</v>
      </c>
      <c r="Q41" s="73" t="s">
        <v>140</v>
      </c>
      <c r="R41" s="56"/>
      <c r="S41" s="56"/>
    </row>
    <row r="42" spans="11:19" x14ac:dyDescent="0.25">
      <c r="K42" s="56" t="s">
        <v>55</v>
      </c>
      <c r="L42" s="56"/>
      <c r="M42" s="60"/>
      <c r="N42" s="56"/>
      <c r="O42" s="74"/>
      <c r="P42" s="74"/>
      <c r="Q42" s="74"/>
    </row>
    <row r="43" spans="11:19" x14ac:dyDescent="0.25">
      <c r="K43" t="s">
        <v>134</v>
      </c>
      <c r="L43" s="56"/>
      <c r="M43" s="60"/>
      <c r="O43" s="74">
        <v>5651814</v>
      </c>
      <c r="P43" s="74">
        <v>5588020</v>
      </c>
      <c r="Q43" s="74">
        <v>5599912</v>
      </c>
    </row>
    <row r="44" spans="11:19" x14ac:dyDescent="0.25">
      <c r="K44" t="s">
        <v>136</v>
      </c>
      <c r="L44" s="56"/>
      <c r="M44" s="60"/>
      <c r="O44" s="74">
        <v>5651814</v>
      </c>
      <c r="P44" s="74">
        <v>5588020</v>
      </c>
      <c r="Q44" s="74">
        <v>5599912</v>
      </c>
    </row>
    <row r="45" spans="11:19" x14ac:dyDescent="0.25">
      <c r="K45" t="s">
        <v>137</v>
      </c>
      <c r="L45" s="56"/>
      <c r="M45" s="60"/>
      <c r="O45" s="74">
        <v>5651814</v>
      </c>
      <c r="P45" s="74">
        <v>5588020</v>
      </c>
      <c r="Q45" s="74">
        <v>5599912</v>
      </c>
    </row>
    <row r="46" spans="11:19" x14ac:dyDescent="0.25">
      <c r="K46" s="56" t="s">
        <v>56</v>
      </c>
      <c r="M46" s="57"/>
      <c r="O46" s="74"/>
      <c r="P46" s="74"/>
      <c r="Q46" s="74"/>
    </row>
    <row r="47" spans="11:19" x14ac:dyDescent="0.25">
      <c r="K47" t="s">
        <v>134</v>
      </c>
      <c r="M47" s="57"/>
      <c r="O47" s="74">
        <v>5651814</v>
      </c>
      <c r="P47" s="74">
        <v>5588020</v>
      </c>
      <c r="Q47" s="74">
        <v>5626375</v>
      </c>
    </row>
    <row r="48" spans="11:19" x14ac:dyDescent="0.25">
      <c r="K48" t="s">
        <v>136</v>
      </c>
      <c r="M48" s="57"/>
      <c r="O48" s="74">
        <v>5651814</v>
      </c>
      <c r="P48" s="74">
        <v>5612477</v>
      </c>
      <c r="Q48" s="74">
        <v>5599912</v>
      </c>
    </row>
    <row r="49" spans="11:17" x14ac:dyDescent="0.25">
      <c r="K49" t="s">
        <v>137</v>
      </c>
      <c r="M49" s="57"/>
      <c r="O49" s="74">
        <v>5651814</v>
      </c>
      <c r="P49" s="74">
        <v>5588020</v>
      </c>
      <c r="Q49" s="74">
        <v>5626375</v>
      </c>
    </row>
  </sheetData>
  <sortState xmlns:xlrd2="http://schemas.microsoft.com/office/spreadsheetml/2017/richdata2" columnSort="1" ref="O2:S49">
    <sortCondition ref="O2:S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33A0-2070-4DAF-891B-B99A1FFB0202}">
  <dimension ref="A1:T40"/>
  <sheetViews>
    <sheetView workbookViewId="0">
      <selection activeCell="E17" sqref="E17"/>
    </sheetView>
  </sheetViews>
  <sheetFormatPr defaultRowHeight="15" x14ac:dyDescent="0.25"/>
  <sheetData>
    <row r="1" spans="1:20" x14ac:dyDescent="0.25">
      <c r="A1" s="56" t="s">
        <v>42</v>
      </c>
      <c r="B1" s="60"/>
      <c r="C1" s="60" t="s">
        <v>42</v>
      </c>
      <c r="D1" s="60"/>
      <c r="E1" s="60">
        <v>2020</v>
      </c>
      <c r="F1" s="60">
        <v>2021</v>
      </c>
      <c r="G1" s="60">
        <v>2022</v>
      </c>
      <c r="H1" s="60"/>
      <c r="I1" s="60"/>
      <c r="L1" s="56"/>
      <c r="M1" s="68"/>
      <c r="N1" s="67"/>
      <c r="O1" s="68"/>
      <c r="P1">
        <v>2017</v>
      </c>
      <c r="Q1">
        <v>2018</v>
      </c>
      <c r="R1">
        <v>2019</v>
      </c>
      <c r="S1" s="68"/>
      <c r="T1" s="68"/>
    </row>
    <row r="2" spans="1:20" x14ac:dyDescent="0.25">
      <c r="A2" s="56" t="s">
        <v>57</v>
      </c>
      <c r="B2" s="60" t="s">
        <v>42</v>
      </c>
      <c r="C2" s="60" t="s">
        <v>58</v>
      </c>
      <c r="D2" s="60" t="s">
        <v>42</v>
      </c>
      <c r="E2" s="60" t="s">
        <v>59</v>
      </c>
      <c r="F2" s="60" t="s">
        <v>59</v>
      </c>
      <c r="G2" s="60" t="s">
        <v>59</v>
      </c>
      <c r="H2" s="60" t="s">
        <v>42</v>
      </c>
      <c r="I2" s="60" t="s">
        <v>42</v>
      </c>
      <c r="L2" s="56" t="s">
        <v>98</v>
      </c>
      <c r="M2" s="67"/>
      <c r="N2" s="60" t="s">
        <v>58</v>
      </c>
      <c r="P2" s="60" t="s">
        <v>59</v>
      </c>
      <c r="Q2" s="60" t="s">
        <v>59</v>
      </c>
      <c r="R2" s="60" t="s">
        <v>59</v>
      </c>
      <c r="S2" s="67"/>
      <c r="T2" s="67"/>
    </row>
    <row r="3" spans="1:20" x14ac:dyDescent="0.25">
      <c r="A3" s="56" t="s">
        <v>62</v>
      </c>
      <c r="C3" s="57"/>
      <c r="D3" s="56"/>
      <c r="E3" s="57"/>
      <c r="F3" s="60"/>
      <c r="G3" s="60"/>
      <c r="H3" s="56"/>
      <c r="L3" s="56" t="s">
        <v>62</v>
      </c>
      <c r="N3" s="57"/>
      <c r="O3" s="56"/>
      <c r="P3" s="57"/>
      <c r="Q3" s="60"/>
      <c r="R3" s="60"/>
      <c r="S3" s="56"/>
    </row>
    <row r="4" spans="1:20" x14ac:dyDescent="0.25">
      <c r="A4" t="s">
        <v>60</v>
      </c>
      <c r="C4" s="57"/>
      <c r="E4" s="61">
        <v>-2516</v>
      </c>
      <c r="F4" s="61">
        <v>1645</v>
      </c>
      <c r="G4" s="61">
        <v>4259</v>
      </c>
      <c r="H4" t="s">
        <v>42</v>
      </c>
      <c r="I4" t="s">
        <v>42</v>
      </c>
      <c r="L4" t="s">
        <v>128</v>
      </c>
      <c r="N4" s="57"/>
      <c r="P4" s="61">
        <v>-1458</v>
      </c>
      <c r="Q4" s="62">
        <v>-335</v>
      </c>
      <c r="R4" s="61">
        <v>11</v>
      </c>
    </row>
    <row r="5" spans="1:20" x14ac:dyDescent="0.25">
      <c r="A5" t="s">
        <v>63</v>
      </c>
      <c r="C5" s="61">
        <v>28</v>
      </c>
      <c r="E5" s="61">
        <v>5267</v>
      </c>
      <c r="F5" s="61">
        <v>1713</v>
      </c>
      <c r="G5" s="62">
        <v>-446</v>
      </c>
      <c r="H5" t="s">
        <v>42</v>
      </c>
      <c r="I5" t="s">
        <v>42</v>
      </c>
      <c r="L5" t="s">
        <v>142</v>
      </c>
      <c r="N5" s="61">
        <v>31</v>
      </c>
      <c r="P5" s="61">
        <v>3676</v>
      </c>
      <c r="Q5" s="61">
        <v>2093</v>
      </c>
      <c r="R5" s="61">
        <v>2627</v>
      </c>
    </row>
    <row r="6" spans="1:20" x14ac:dyDescent="0.25">
      <c r="A6" t="s">
        <v>64</v>
      </c>
      <c r="C6" s="57" t="s">
        <v>42</v>
      </c>
      <c r="E6" t="s">
        <v>42</v>
      </c>
      <c r="F6" t="s">
        <v>42</v>
      </c>
      <c r="G6" s="57" t="s">
        <v>42</v>
      </c>
      <c r="H6" t="s">
        <v>42</v>
      </c>
      <c r="I6" t="s">
        <v>42</v>
      </c>
      <c r="L6" t="s">
        <v>143</v>
      </c>
      <c r="N6" s="57"/>
      <c r="R6" s="57"/>
    </row>
    <row r="7" spans="1:20" x14ac:dyDescent="0.25">
      <c r="A7" t="s">
        <v>65</v>
      </c>
      <c r="B7" t="s">
        <v>42</v>
      </c>
      <c r="C7" s="57" t="s">
        <v>42</v>
      </c>
      <c r="D7" t="s">
        <v>42</v>
      </c>
      <c r="E7" s="62">
        <v>-418</v>
      </c>
      <c r="F7" s="61">
        <v>239</v>
      </c>
      <c r="G7" s="62">
        <v>-451</v>
      </c>
      <c r="H7" t="s">
        <v>42</v>
      </c>
      <c r="I7" t="s">
        <v>42</v>
      </c>
      <c r="L7" t="s">
        <v>144</v>
      </c>
      <c r="N7" s="57"/>
      <c r="P7" s="62">
        <v>-421</v>
      </c>
      <c r="Q7" s="61">
        <v>246</v>
      </c>
      <c r="R7" s="61">
        <v>159</v>
      </c>
    </row>
    <row r="8" spans="1:20" x14ac:dyDescent="0.25">
      <c r="A8" t="s">
        <v>66</v>
      </c>
      <c r="B8" t="s">
        <v>42</v>
      </c>
      <c r="C8" s="57" t="s">
        <v>42</v>
      </c>
      <c r="D8" t="s">
        <v>42</v>
      </c>
      <c r="E8" s="61">
        <v>553</v>
      </c>
      <c r="F8" s="62">
        <v>-48</v>
      </c>
      <c r="G8" s="62">
        <v>-991</v>
      </c>
      <c r="H8" t="s">
        <v>42</v>
      </c>
      <c r="I8" t="s">
        <v>42</v>
      </c>
      <c r="L8" t="s">
        <v>145</v>
      </c>
      <c r="N8" s="57"/>
      <c r="P8" s="62">
        <v>-296</v>
      </c>
      <c r="Q8" s="62">
        <v>-544</v>
      </c>
      <c r="R8" s="61">
        <v>285</v>
      </c>
    </row>
    <row r="9" spans="1:20" x14ac:dyDescent="0.25">
      <c r="A9" t="s">
        <v>67</v>
      </c>
      <c r="B9" t="s">
        <v>42</v>
      </c>
      <c r="C9" s="57" t="s">
        <v>42</v>
      </c>
      <c r="D9" t="s">
        <v>42</v>
      </c>
      <c r="E9" s="62">
        <v>-845</v>
      </c>
      <c r="F9" s="62">
        <v>-459</v>
      </c>
      <c r="G9" s="62">
        <v>-401</v>
      </c>
      <c r="H9" t="s">
        <v>42</v>
      </c>
      <c r="I9" t="s">
        <v>42</v>
      </c>
      <c r="L9" t="s">
        <v>146</v>
      </c>
      <c r="N9" s="57"/>
      <c r="P9" s="61">
        <v>1221</v>
      </c>
      <c r="Q9" s="62">
        <v>-645</v>
      </c>
      <c r="R9" s="61">
        <v>-2232</v>
      </c>
    </row>
    <row r="10" spans="1:20" x14ac:dyDescent="0.25">
      <c r="A10" t="s">
        <v>68</v>
      </c>
      <c r="C10" s="57"/>
      <c r="E10" s="61">
        <v>2041</v>
      </c>
      <c r="F10" s="61">
        <v>3090</v>
      </c>
      <c r="G10" s="61">
        <v>1970</v>
      </c>
      <c r="H10" t="s">
        <v>42</v>
      </c>
      <c r="I10" t="s">
        <v>42</v>
      </c>
      <c r="L10" t="s">
        <v>147</v>
      </c>
      <c r="N10" s="57"/>
      <c r="P10" s="61">
        <v>2722</v>
      </c>
      <c r="Q10" s="61">
        <v>815</v>
      </c>
      <c r="R10" s="61">
        <v>850</v>
      </c>
    </row>
    <row r="11" spans="1:20" x14ac:dyDescent="0.25">
      <c r="A11" t="s">
        <v>69</v>
      </c>
      <c r="C11" s="57"/>
      <c r="E11" s="61">
        <v>33</v>
      </c>
      <c r="F11" s="61">
        <v>41</v>
      </c>
      <c r="G11" s="61">
        <v>65</v>
      </c>
      <c r="H11" t="s">
        <v>42</v>
      </c>
      <c r="I11" t="s">
        <v>42</v>
      </c>
      <c r="L11" t="s">
        <v>148</v>
      </c>
      <c r="N11" s="57"/>
      <c r="P11" s="61">
        <v>53</v>
      </c>
      <c r="Q11" s="61">
        <v>68</v>
      </c>
      <c r="R11" s="61">
        <v>57</v>
      </c>
    </row>
    <row r="12" spans="1:20" x14ac:dyDescent="0.25">
      <c r="A12" t="s">
        <v>70</v>
      </c>
      <c r="C12" s="57" t="s">
        <v>71</v>
      </c>
      <c r="E12" s="62">
        <v>-35</v>
      </c>
      <c r="F12" s="62">
        <v>-192</v>
      </c>
      <c r="G12" s="62">
        <v>-180</v>
      </c>
      <c r="H12" t="s">
        <v>42</v>
      </c>
      <c r="I12" t="s">
        <v>42</v>
      </c>
      <c r="L12" t="s">
        <v>149</v>
      </c>
      <c r="N12" s="57" t="s">
        <v>150</v>
      </c>
      <c r="P12" s="62">
        <v>-409</v>
      </c>
      <c r="Q12" s="62">
        <v>-159</v>
      </c>
      <c r="R12" s="62">
        <v>-1</v>
      </c>
    </row>
    <row r="13" spans="1:20" x14ac:dyDescent="0.25">
      <c r="A13" t="s">
        <v>72</v>
      </c>
      <c r="C13" s="57"/>
      <c r="E13" s="62">
        <v>-280</v>
      </c>
      <c r="F13" s="62">
        <v>-314</v>
      </c>
      <c r="G13" s="62">
        <v>-381</v>
      </c>
      <c r="H13" t="s">
        <v>42</v>
      </c>
      <c r="I13" t="s">
        <v>42</v>
      </c>
      <c r="L13" t="s">
        <v>151</v>
      </c>
      <c r="N13" s="57"/>
      <c r="P13" s="62">
        <v>-555</v>
      </c>
      <c r="Q13" s="62">
        <v>-364</v>
      </c>
      <c r="R13" s="62">
        <v>-516</v>
      </c>
    </row>
    <row r="14" spans="1:20" x14ac:dyDescent="0.25">
      <c r="A14" s="56" t="s">
        <v>73</v>
      </c>
      <c r="C14" s="57"/>
      <c r="D14" s="56"/>
      <c r="E14" s="63">
        <v>1759</v>
      </c>
      <c r="F14" s="63">
        <v>2625</v>
      </c>
      <c r="G14" s="63">
        <v>1474</v>
      </c>
      <c r="H14" s="56" t="s">
        <v>42</v>
      </c>
      <c r="I14" s="56" t="s">
        <v>42</v>
      </c>
      <c r="L14" s="56" t="s">
        <v>152</v>
      </c>
      <c r="N14" s="57"/>
      <c r="O14" s="56"/>
      <c r="P14" s="63">
        <v>1811</v>
      </c>
      <c r="Q14" s="63">
        <v>360</v>
      </c>
      <c r="R14" s="63">
        <v>390</v>
      </c>
    </row>
    <row r="15" spans="1:20" x14ac:dyDescent="0.25">
      <c r="A15" s="56" t="s">
        <v>74</v>
      </c>
      <c r="C15" s="57"/>
      <c r="E15" s="57"/>
      <c r="F15" s="57"/>
      <c r="G15" s="57"/>
      <c r="H15" t="s">
        <v>42</v>
      </c>
      <c r="I15" t="s">
        <v>42</v>
      </c>
      <c r="L15" s="56" t="s">
        <v>153</v>
      </c>
      <c r="N15" s="57"/>
      <c r="P15" s="57"/>
      <c r="Q15" s="57"/>
      <c r="R15" s="57"/>
    </row>
    <row r="16" spans="1:20" x14ac:dyDescent="0.25">
      <c r="A16" t="s">
        <v>75</v>
      </c>
      <c r="C16" s="57"/>
      <c r="E16" s="62">
        <v>-479</v>
      </c>
      <c r="F16" s="62">
        <v>-560</v>
      </c>
      <c r="G16" s="62">
        <v>-601</v>
      </c>
      <c r="H16" t="s">
        <v>42</v>
      </c>
      <c r="I16" t="s">
        <v>42</v>
      </c>
      <c r="L16" t="s">
        <v>154</v>
      </c>
      <c r="N16" s="57"/>
      <c r="P16" s="62">
        <v>-601</v>
      </c>
      <c r="Q16" s="62">
        <v>-672</v>
      </c>
      <c r="R16" s="62">
        <v>-690</v>
      </c>
    </row>
    <row r="17" spans="1:18" x14ac:dyDescent="0.25">
      <c r="A17" t="s">
        <v>76</v>
      </c>
      <c r="C17" s="57"/>
      <c r="E17" s="61">
        <v>13</v>
      </c>
      <c r="F17" s="61">
        <v>103</v>
      </c>
      <c r="G17" s="61">
        <v>33</v>
      </c>
      <c r="H17" t="s">
        <v>42</v>
      </c>
      <c r="I17" t="s">
        <v>42</v>
      </c>
      <c r="L17" t="s">
        <v>155</v>
      </c>
      <c r="N17" s="57"/>
      <c r="P17" s="61">
        <v>67</v>
      </c>
      <c r="Q17" s="61">
        <v>88</v>
      </c>
      <c r="R17" s="61">
        <v>39</v>
      </c>
    </row>
    <row r="18" spans="1:18" x14ac:dyDescent="0.25">
      <c r="A18" t="s">
        <v>77</v>
      </c>
      <c r="B18" s="64"/>
      <c r="C18" s="65"/>
      <c r="E18" s="62">
        <v>-104</v>
      </c>
      <c r="F18" s="62">
        <v>-33</v>
      </c>
      <c r="G18" s="62">
        <v>-20</v>
      </c>
      <c r="H18" t="s">
        <v>42</v>
      </c>
      <c r="I18" t="s">
        <v>42</v>
      </c>
      <c r="L18" t="s">
        <v>156</v>
      </c>
      <c r="M18" s="64"/>
      <c r="N18" s="65"/>
      <c r="P18" s="62">
        <v>-394</v>
      </c>
      <c r="Q18" s="62">
        <v>-31</v>
      </c>
      <c r="R18" s="57" t="s">
        <v>87</v>
      </c>
    </row>
    <row r="19" spans="1:18" x14ac:dyDescent="0.25">
      <c r="A19" t="s">
        <v>78</v>
      </c>
      <c r="B19" s="64" t="s">
        <v>42</v>
      </c>
      <c r="C19" s="65" t="s">
        <v>42</v>
      </c>
      <c r="D19" t="s">
        <v>42</v>
      </c>
      <c r="E19" s="61">
        <v>-1154</v>
      </c>
      <c r="F19" s="61">
        <v>-1845</v>
      </c>
      <c r="G19" s="61">
        <v>-3595</v>
      </c>
      <c r="H19" t="s">
        <v>42</v>
      </c>
      <c r="I19" t="s">
        <v>42</v>
      </c>
      <c r="L19" t="s">
        <v>157</v>
      </c>
      <c r="M19" s="64"/>
      <c r="N19" s="65"/>
      <c r="P19" s="62">
        <v>-16</v>
      </c>
      <c r="Q19" s="62">
        <v>-18</v>
      </c>
      <c r="R19" s="61">
        <v>19</v>
      </c>
    </row>
    <row r="20" spans="1:18" x14ac:dyDescent="0.25">
      <c r="A20" t="s">
        <v>79</v>
      </c>
      <c r="C20" s="57"/>
      <c r="E20" s="61">
        <v>123</v>
      </c>
      <c r="F20" s="61">
        <v>398</v>
      </c>
      <c r="G20" s="61">
        <v>2397</v>
      </c>
      <c r="H20" t="s">
        <v>42</v>
      </c>
      <c r="I20" t="s">
        <v>42</v>
      </c>
      <c r="L20" t="s">
        <v>158</v>
      </c>
      <c r="N20" s="57"/>
      <c r="P20" s="61">
        <v>-2729</v>
      </c>
      <c r="Q20" s="61">
        <v>-2104</v>
      </c>
      <c r="R20" s="62">
        <v>-473</v>
      </c>
    </row>
    <row r="21" spans="1:18" x14ac:dyDescent="0.25">
      <c r="A21" t="s">
        <v>80</v>
      </c>
      <c r="C21" s="57"/>
      <c r="E21" s="62">
        <v>-59</v>
      </c>
      <c r="F21" s="62">
        <v>-77</v>
      </c>
      <c r="G21" s="62">
        <v>-115</v>
      </c>
      <c r="H21" t="s">
        <v>42</v>
      </c>
      <c r="I21" t="s">
        <v>42</v>
      </c>
      <c r="L21" t="s">
        <v>159</v>
      </c>
      <c r="N21" s="57"/>
      <c r="P21" s="61">
        <v>3589</v>
      </c>
      <c r="Q21" s="61">
        <v>2397</v>
      </c>
      <c r="R21" s="61">
        <v>991</v>
      </c>
    </row>
    <row r="22" spans="1:18" x14ac:dyDescent="0.25">
      <c r="A22" t="s">
        <v>81</v>
      </c>
      <c r="C22" s="57"/>
      <c r="E22" s="61">
        <v>122</v>
      </c>
      <c r="F22" s="61">
        <v>277</v>
      </c>
      <c r="G22" s="61">
        <v>49</v>
      </c>
      <c r="H22" t="s">
        <v>42</v>
      </c>
      <c r="I22" t="s">
        <v>42</v>
      </c>
      <c r="L22" t="s">
        <v>160</v>
      </c>
      <c r="N22" s="57"/>
      <c r="P22" s="62">
        <v>-104</v>
      </c>
      <c r="Q22" s="62">
        <v>-145</v>
      </c>
      <c r="R22" s="62">
        <v>-180</v>
      </c>
    </row>
    <row r="23" spans="1:18" x14ac:dyDescent="0.25">
      <c r="A23" t="s">
        <v>82</v>
      </c>
      <c r="B23" t="s">
        <v>42</v>
      </c>
      <c r="C23" s="57" t="s">
        <v>42</v>
      </c>
      <c r="D23" t="s">
        <v>42</v>
      </c>
      <c r="E23" s="61">
        <v>79</v>
      </c>
      <c r="F23" s="62">
        <v>-77</v>
      </c>
      <c r="G23" s="62">
        <v>-38</v>
      </c>
      <c r="H23" t="s">
        <v>42</v>
      </c>
      <c r="I23" t="s">
        <v>42</v>
      </c>
      <c r="L23" t="s">
        <v>161</v>
      </c>
      <c r="N23" s="57"/>
      <c r="P23" s="61">
        <v>207</v>
      </c>
      <c r="Q23" s="61">
        <v>170</v>
      </c>
      <c r="R23" s="61">
        <v>144</v>
      </c>
    </row>
    <row r="24" spans="1:18" x14ac:dyDescent="0.25">
      <c r="A24" t="s">
        <v>83</v>
      </c>
      <c r="C24" s="57"/>
      <c r="E24" s="61">
        <v>21</v>
      </c>
      <c r="F24" s="61">
        <v>19</v>
      </c>
      <c r="G24" s="61">
        <v>10</v>
      </c>
      <c r="H24" t="s">
        <v>42</v>
      </c>
      <c r="I24" t="s">
        <v>42</v>
      </c>
      <c r="L24" t="s">
        <v>162</v>
      </c>
      <c r="N24" s="57"/>
      <c r="P24" s="62">
        <v>-2</v>
      </c>
      <c r="Q24" s="62">
        <v>-1</v>
      </c>
      <c r="R24" s="62">
        <v>-21</v>
      </c>
    </row>
    <row r="25" spans="1:18" x14ac:dyDescent="0.25">
      <c r="A25" s="56" t="s">
        <v>84</v>
      </c>
      <c r="C25" s="57"/>
      <c r="D25" s="56"/>
      <c r="E25" s="63">
        <v>-1438</v>
      </c>
      <c r="F25" s="63">
        <v>-1795</v>
      </c>
      <c r="G25" s="63">
        <v>-1880</v>
      </c>
      <c r="H25" s="56" t="s">
        <v>42</v>
      </c>
      <c r="I25" s="56" t="s">
        <v>42</v>
      </c>
      <c r="L25" t="s">
        <v>83</v>
      </c>
      <c r="N25" s="57"/>
      <c r="P25" s="62">
        <v>-7</v>
      </c>
      <c r="Q25" s="61">
        <v>1</v>
      </c>
      <c r="R25" s="61">
        <v>4</v>
      </c>
    </row>
    <row r="26" spans="1:18" x14ac:dyDescent="0.25">
      <c r="A26" s="56" t="s">
        <v>85</v>
      </c>
      <c r="C26" s="57"/>
      <c r="E26" s="57"/>
      <c r="F26" s="57"/>
      <c r="G26" s="57"/>
      <c r="H26" t="s">
        <v>42</v>
      </c>
      <c r="I26" t="s">
        <v>42</v>
      </c>
      <c r="L26" s="56" t="s">
        <v>163</v>
      </c>
      <c r="N26" s="57"/>
      <c r="O26" s="56"/>
      <c r="P26" s="63">
        <v>10</v>
      </c>
      <c r="Q26" s="66">
        <v>-315</v>
      </c>
      <c r="R26" s="66">
        <v>-167</v>
      </c>
    </row>
    <row r="27" spans="1:18" x14ac:dyDescent="0.25">
      <c r="A27" t="s">
        <v>86</v>
      </c>
      <c r="C27" s="61">
        <v>18</v>
      </c>
      <c r="E27" s="57" t="s">
        <v>87</v>
      </c>
      <c r="F27" s="57" t="s">
        <v>87</v>
      </c>
      <c r="G27" s="62">
        <v>-300</v>
      </c>
      <c r="H27" t="s">
        <v>42</v>
      </c>
      <c r="I27" t="s">
        <v>42</v>
      </c>
      <c r="L27" s="56" t="s">
        <v>164</v>
      </c>
      <c r="N27" s="57"/>
      <c r="P27" s="57"/>
      <c r="Q27" s="57"/>
      <c r="R27" s="57"/>
    </row>
    <row r="28" spans="1:18" x14ac:dyDescent="0.25">
      <c r="A28" t="s">
        <v>88</v>
      </c>
      <c r="C28" s="61">
        <v>20</v>
      </c>
      <c r="E28" s="61">
        <v>1595</v>
      </c>
      <c r="F28" s="61">
        <v>17</v>
      </c>
      <c r="G28" s="61">
        <v>8</v>
      </c>
      <c r="H28" t="s">
        <v>42</v>
      </c>
      <c r="I28" t="s">
        <v>42</v>
      </c>
      <c r="L28" t="s">
        <v>165</v>
      </c>
      <c r="N28" s="57"/>
      <c r="P28" s="61">
        <v>1</v>
      </c>
      <c r="Q28" s="61">
        <v>1</v>
      </c>
      <c r="R28" s="57" t="s">
        <v>87</v>
      </c>
    </row>
    <row r="29" spans="1:18" x14ac:dyDescent="0.25">
      <c r="A29" t="s">
        <v>89</v>
      </c>
      <c r="C29" s="61">
        <v>20</v>
      </c>
      <c r="E29" s="62">
        <v>-246</v>
      </c>
      <c r="F29" s="62">
        <v>-927</v>
      </c>
      <c r="G29" s="62">
        <v>-2</v>
      </c>
      <c r="H29" t="s">
        <v>42</v>
      </c>
      <c r="I29" t="s">
        <v>42</v>
      </c>
      <c r="L29" t="s">
        <v>166</v>
      </c>
      <c r="N29" s="57"/>
      <c r="P29" s="62">
        <v>-785</v>
      </c>
      <c r="Q29" s="57" t="s">
        <v>87</v>
      </c>
      <c r="R29" s="57" t="s">
        <v>87</v>
      </c>
    </row>
    <row r="30" spans="1:18" x14ac:dyDescent="0.25">
      <c r="A30" t="s">
        <v>90</v>
      </c>
      <c r="C30" s="61">
        <v>20</v>
      </c>
      <c r="E30" s="62">
        <v>-83</v>
      </c>
      <c r="F30" s="62">
        <v>-67</v>
      </c>
      <c r="G30" s="61">
        <v>27</v>
      </c>
      <c r="H30" t="s">
        <v>42</v>
      </c>
      <c r="I30" t="s">
        <v>42</v>
      </c>
      <c r="L30" t="s">
        <v>167</v>
      </c>
      <c r="N30" s="57"/>
      <c r="P30" s="62">
        <v>-38</v>
      </c>
      <c r="Q30" s="61">
        <v>1</v>
      </c>
      <c r="R30" s="62">
        <v>-1</v>
      </c>
    </row>
    <row r="31" spans="1:18" x14ac:dyDescent="0.25">
      <c r="A31" t="s">
        <v>91</v>
      </c>
      <c r="B31" t="s">
        <v>42</v>
      </c>
      <c r="C31" s="57" t="s">
        <v>71</v>
      </c>
      <c r="D31" t="s">
        <v>42</v>
      </c>
      <c r="E31" s="62">
        <v>-234</v>
      </c>
      <c r="F31" s="62">
        <v>-226</v>
      </c>
      <c r="G31" s="62">
        <v>-217</v>
      </c>
      <c r="H31" t="s">
        <v>42</v>
      </c>
      <c r="I31" t="s">
        <v>42</v>
      </c>
      <c r="L31" t="s">
        <v>168</v>
      </c>
      <c r="N31" s="61">
        <v>23</v>
      </c>
      <c r="P31" s="61">
        <v>2129</v>
      </c>
      <c r="Q31" s="61">
        <v>139</v>
      </c>
      <c r="R31" s="61">
        <v>1039</v>
      </c>
    </row>
    <row r="32" spans="1:18" x14ac:dyDescent="0.25">
      <c r="A32" t="s">
        <v>92</v>
      </c>
      <c r="C32" s="61">
        <v>18</v>
      </c>
      <c r="E32" s="62">
        <v>-149</v>
      </c>
      <c r="F32" s="62">
        <v>-9</v>
      </c>
      <c r="G32" s="62">
        <v>-353</v>
      </c>
      <c r="H32" t="s">
        <v>42</v>
      </c>
      <c r="I32" t="s">
        <v>42</v>
      </c>
      <c r="L32" t="s">
        <v>169</v>
      </c>
      <c r="N32" s="61">
        <v>23</v>
      </c>
      <c r="P32" s="61">
        <v>-2041</v>
      </c>
      <c r="Q32" s="62">
        <v>-29</v>
      </c>
      <c r="R32" s="62">
        <v>-766</v>
      </c>
    </row>
    <row r="33" spans="1:18" x14ac:dyDescent="0.25">
      <c r="A33" s="56" t="s">
        <v>93</v>
      </c>
      <c r="C33" s="57"/>
      <c r="D33" s="56"/>
      <c r="E33" s="63">
        <v>883</v>
      </c>
      <c r="F33" s="63">
        <v>-1212</v>
      </c>
      <c r="G33" s="66">
        <v>-837</v>
      </c>
      <c r="H33" s="56" t="s">
        <v>42</v>
      </c>
      <c r="I33" s="56" t="s">
        <v>42</v>
      </c>
      <c r="L33" t="s">
        <v>170</v>
      </c>
      <c r="N33" s="61">
        <v>23</v>
      </c>
      <c r="P33" s="62">
        <v>-38</v>
      </c>
      <c r="Q33" s="61">
        <v>2</v>
      </c>
      <c r="R33" s="61">
        <v>40</v>
      </c>
    </row>
    <row r="34" spans="1:18" x14ac:dyDescent="0.25">
      <c r="A34" t="s">
        <v>94</v>
      </c>
      <c r="B34" s="56"/>
      <c r="C34" s="60"/>
      <c r="E34" s="62">
        <v>-174</v>
      </c>
      <c r="F34" s="61">
        <v>133</v>
      </c>
      <c r="G34" s="61">
        <v>19</v>
      </c>
      <c r="H34" t="s">
        <v>42</v>
      </c>
      <c r="I34" t="s">
        <v>42</v>
      </c>
      <c r="L34" t="s">
        <v>171</v>
      </c>
      <c r="N34" s="61">
        <v>16</v>
      </c>
      <c r="P34" s="62">
        <v>-7</v>
      </c>
      <c r="Q34" s="62">
        <v>-2</v>
      </c>
      <c r="R34" s="62">
        <v>-221</v>
      </c>
    </row>
    <row r="35" spans="1:18" x14ac:dyDescent="0.25">
      <c r="A35" s="56" t="s">
        <v>95</v>
      </c>
      <c r="B35" s="56"/>
      <c r="C35" s="60"/>
      <c r="D35" s="56"/>
      <c r="E35" s="63">
        <v>1030</v>
      </c>
      <c r="F35" s="66">
        <v>-249</v>
      </c>
      <c r="G35" s="63">
        <v>-1224</v>
      </c>
      <c r="H35" s="56" t="s">
        <v>42</v>
      </c>
      <c r="I35" s="56" t="s">
        <v>42</v>
      </c>
      <c r="L35" t="s">
        <v>172</v>
      </c>
      <c r="N35" s="57"/>
      <c r="P35" s="62">
        <v>-970</v>
      </c>
      <c r="Q35" s="61">
        <v>-1081</v>
      </c>
      <c r="R35" s="62">
        <v>-570</v>
      </c>
    </row>
    <row r="36" spans="1:18" x14ac:dyDescent="0.25">
      <c r="A36" t="s">
        <v>96</v>
      </c>
      <c r="C36" s="57"/>
      <c r="E36" s="61">
        <v>5910</v>
      </c>
      <c r="F36" s="61">
        <v>6940</v>
      </c>
      <c r="G36" s="61">
        <v>6691</v>
      </c>
      <c r="H36" t="s">
        <v>42</v>
      </c>
      <c r="I36" t="s">
        <v>42</v>
      </c>
      <c r="L36" s="56" t="s">
        <v>173</v>
      </c>
      <c r="N36" s="57"/>
      <c r="O36" s="56"/>
      <c r="P36" s="63">
        <v>-1749</v>
      </c>
      <c r="Q36" s="66">
        <v>-969</v>
      </c>
      <c r="R36" s="66">
        <v>-479</v>
      </c>
    </row>
    <row r="37" spans="1:18" x14ac:dyDescent="0.25">
      <c r="A37" s="56" t="s">
        <v>97</v>
      </c>
      <c r="C37" s="57"/>
      <c r="D37" s="56"/>
      <c r="E37" s="63">
        <v>6940</v>
      </c>
      <c r="F37" s="63">
        <v>6691</v>
      </c>
      <c r="G37" s="63">
        <v>5467</v>
      </c>
      <c r="H37" s="56" t="s">
        <v>42</v>
      </c>
      <c r="I37" s="56" t="s">
        <v>42</v>
      </c>
      <c r="L37" t="s">
        <v>174</v>
      </c>
      <c r="M37" s="56"/>
      <c r="N37" s="60"/>
      <c r="P37" s="62">
        <v>-200</v>
      </c>
      <c r="Q37" s="62">
        <v>-184</v>
      </c>
      <c r="R37" s="62">
        <v>-95</v>
      </c>
    </row>
    <row r="38" spans="1:18" x14ac:dyDescent="0.25">
      <c r="L38" s="56" t="s">
        <v>175</v>
      </c>
      <c r="M38" s="56"/>
      <c r="N38" s="60"/>
      <c r="O38" s="56"/>
      <c r="P38" s="66">
        <v>-128</v>
      </c>
      <c r="Q38" s="63">
        <v>-1108</v>
      </c>
      <c r="R38" s="66">
        <v>-351</v>
      </c>
    </row>
    <row r="39" spans="1:18" x14ac:dyDescent="0.25">
      <c r="L39" t="s">
        <v>176</v>
      </c>
      <c r="N39" s="57"/>
      <c r="P39" s="61">
        <v>7497</v>
      </c>
      <c r="Q39" s="61">
        <v>7369</v>
      </c>
      <c r="R39" s="61">
        <v>6261</v>
      </c>
    </row>
    <row r="40" spans="1:18" x14ac:dyDescent="0.25">
      <c r="L40" s="56" t="s">
        <v>177</v>
      </c>
      <c r="N40" s="57"/>
      <c r="O40" s="56"/>
      <c r="P40" s="63">
        <v>7369</v>
      </c>
      <c r="Q40" s="63">
        <v>6261</v>
      </c>
      <c r="R40" s="63">
        <v>5910</v>
      </c>
    </row>
  </sheetData>
  <sortState xmlns:xlrd2="http://schemas.microsoft.com/office/spreadsheetml/2017/richdata2" columnSort="1" ref="E1:I37">
    <sortCondition ref="E1: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NOK DCF</vt:lpstr>
      <vt:lpstr>WACC</vt:lpstr>
      <vt:lpstr>Raw IS</vt:lpstr>
      <vt:lpstr>Raw 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2023-07-22T11:00:23Z</dcterms:modified>
</cp:coreProperties>
</file>