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F0CC6E02-9F49-42CB-ACFB-1C946FB820A2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DISH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0" i="1" l="1"/>
  <c r="L69" i="1"/>
  <c r="E5" i="1"/>
  <c r="D6" i="2"/>
  <c r="D67" i="1"/>
  <c r="D69" i="1"/>
  <c r="I58" i="1"/>
  <c r="J58" i="1"/>
  <c r="K58" i="1"/>
  <c r="L58" i="1"/>
  <c r="M58" i="1"/>
  <c r="N58" i="1"/>
  <c r="O58" i="1"/>
  <c r="P58" i="1"/>
  <c r="Q58" i="1"/>
  <c r="R58" i="1"/>
  <c r="J48" i="1"/>
  <c r="K48" i="1"/>
  <c r="L48" i="1"/>
  <c r="M48" i="1"/>
  <c r="N48" i="1"/>
  <c r="O48" i="1"/>
  <c r="P48" i="1"/>
  <c r="Q48" i="1"/>
  <c r="R48" i="1"/>
  <c r="I48" i="1"/>
  <c r="I46" i="1"/>
  <c r="J46" i="1"/>
  <c r="K46" i="1"/>
  <c r="L46" i="1"/>
  <c r="M46" i="1"/>
  <c r="N46" i="1"/>
  <c r="O46" i="1"/>
  <c r="P46" i="1"/>
  <c r="Q46" i="1"/>
  <c r="R46" i="1"/>
  <c r="J45" i="1"/>
  <c r="K45" i="1"/>
  <c r="L45" i="1"/>
  <c r="M45" i="1"/>
  <c r="N45" i="1"/>
  <c r="O45" i="1"/>
  <c r="P45" i="1"/>
  <c r="Q45" i="1"/>
  <c r="R45" i="1"/>
  <c r="I45" i="1"/>
  <c r="I38" i="1"/>
  <c r="J38" i="1"/>
  <c r="K38" i="1"/>
  <c r="L38" i="1"/>
  <c r="M38" i="1"/>
  <c r="N38" i="1"/>
  <c r="O38" i="1"/>
  <c r="P38" i="1"/>
  <c r="Q38" i="1"/>
  <c r="R38" i="1"/>
  <c r="I29" i="1"/>
  <c r="J29" i="1"/>
  <c r="K29" i="1"/>
  <c r="L29" i="1"/>
  <c r="L32" i="1" s="1"/>
  <c r="M29" i="1"/>
  <c r="N29" i="1"/>
  <c r="O29" i="1"/>
  <c r="P29" i="1"/>
  <c r="Q29" i="1"/>
  <c r="R29" i="1"/>
  <c r="J19" i="1"/>
  <c r="K19" i="1"/>
  <c r="L19" i="1"/>
  <c r="M19" i="1"/>
  <c r="N19" i="1"/>
  <c r="O19" i="1"/>
  <c r="P19" i="1"/>
  <c r="Q19" i="1"/>
  <c r="R19" i="1"/>
  <c r="I19" i="1"/>
  <c r="J16" i="1"/>
  <c r="K16" i="1"/>
  <c r="K32" i="1" s="1"/>
  <c r="L16" i="1"/>
  <c r="M16" i="1"/>
  <c r="N16" i="1"/>
  <c r="O16" i="1"/>
  <c r="O14" i="1" s="1"/>
  <c r="P16" i="1"/>
  <c r="Q16" i="1"/>
  <c r="R16" i="1"/>
  <c r="M32" i="1"/>
  <c r="Q14" i="1"/>
  <c r="I16" i="1"/>
  <c r="I32" i="1"/>
  <c r="J32" i="1"/>
  <c r="M25" i="1"/>
  <c r="N25" i="1"/>
  <c r="O25" i="1"/>
  <c r="P25" i="1"/>
  <c r="Q25" i="1"/>
  <c r="R25" i="1"/>
  <c r="L25" i="1"/>
  <c r="I25" i="1"/>
  <c r="P22" i="1"/>
  <c r="Q22" i="1"/>
  <c r="R22" i="1"/>
  <c r="O22" i="1"/>
  <c r="J23" i="1"/>
  <c r="K23" i="1"/>
  <c r="L23" i="1"/>
  <c r="M23" i="1"/>
  <c r="N23" i="1"/>
  <c r="I23" i="1"/>
  <c r="J14" i="1"/>
  <c r="L14" i="1"/>
  <c r="N14" i="1"/>
  <c r="P14" i="1"/>
  <c r="R14" i="1"/>
  <c r="I14" i="1"/>
  <c r="I12" i="1"/>
  <c r="D30" i="1"/>
  <c r="E30" i="1"/>
  <c r="F30" i="1"/>
  <c r="G30" i="1"/>
  <c r="H30" i="1"/>
  <c r="C30" i="1"/>
  <c r="G51" i="1"/>
  <c r="H51" i="1"/>
  <c r="F51" i="1"/>
  <c r="D51" i="1"/>
  <c r="E51" i="1"/>
  <c r="C51" i="1"/>
  <c r="G48" i="1"/>
  <c r="H48" i="1"/>
  <c r="F48" i="1"/>
  <c r="D48" i="1"/>
  <c r="E48" i="1"/>
  <c r="C48" i="1"/>
  <c r="G45" i="1"/>
  <c r="H45" i="1"/>
  <c r="F45" i="1"/>
  <c r="D45" i="1"/>
  <c r="E45" i="1"/>
  <c r="C45" i="1"/>
  <c r="G55" i="1"/>
  <c r="H55" i="1"/>
  <c r="F55" i="1"/>
  <c r="D55" i="1"/>
  <c r="E55" i="1"/>
  <c r="C55" i="1"/>
  <c r="G33" i="1"/>
  <c r="H33" i="1"/>
  <c r="F33" i="1"/>
  <c r="D33" i="1"/>
  <c r="E33" i="1"/>
  <c r="C33" i="1"/>
  <c r="F25" i="1"/>
  <c r="C25" i="1"/>
  <c r="G22" i="1"/>
  <c r="H22" i="1"/>
  <c r="F22" i="1"/>
  <c r="D22" i="1"/>
  <c r="E22" i="1"/>
  <c r="C22" i="1"/>
  <c r="G19" i="1"/>
  <c r="G29" i="1" s="1"/>
  <c r="H19" i="1"/>
  <c r="H29" i="1" s="1"/>
  <c r="F19" i="1"/>
  <c r="F29" i="1" s="1"/>
  <c r="D19" i="1"/>
  <c r="D29" i="1" s="1"/>
  <c r="E19" i="1"/>
  <c r="E29" i="1" s="1"/>
  <c r="C19" i="1"/>
  <c r="C29" i="1" s="1"/>
  <c r="G14" i="1"/>
  <c r="H14" i="1"/>
  <c r="F14" i="1"/>
  <c r="D14" i="1"/>
  <c r="E14" i="1"/>
  <c r="C14" i="1"/>
  <c r="G11" i="1"/>
  <c r="G16" i="1" s="1"/>
  <c r="G32" i="1" s="1"/>
  <c r="H11" i="1"/>
  <c r="F11" i="1"/>
  <c r="F16" i="1" s="1"/>
  <c r="F32" i="1" s="1"/>
  <c r="D11" i="1"/>
  <c r="D16" i="1" s="1"/>
  <c r="E11" i="1"/>
  <c r="E20" i="1" s="1"/>
  <c r="C11" i="1"/>
  <c r="C16" i="1" s="1"/>
  <c r="C32" i="1" s="1"/>
  <c r="C36" i="1" s="1"/>
  <c r="L67" i="1"/>
  <c r="L66" i="1" s="1"/>
  <c r="G12" i="2"/>
  <c r="D70" i="1"/>
  <c r="C12" i="2" s="1"/>
  <c r="C46" i="1"/>
  <c r="C14" i="2"/>
  <c r="J9" i="1"/>
  <c r="K9" i="1" s="1"/>
  <c r="L9" i="1" s="1"/>
  <c r="M9" i="1" s="1"/>
  <c r="N9" i="1" s="1"/>
  <c r="O9" i="1" s="1"/>
  <c r="P9" i="1" s="1"/>
  <c r="Q9" i="1" s="1"/>
  <c r="R9" i="1" s="1"/>
  <c r="M14" i="1" l="1"/>
  <c r="K14" i="1"/>
  <c r="D32" i="1"/>
  <c r="C26" i="1"/>
  <c r="H26" i="1"/>
  <c r="F26" i="1"/>
  <c r="D26" i="1"/>
  <c r="F23" i="1"/>
  <c r="C23" i="1"/>
  <c r="D23" i="1"/>
  <c r="H23" i="1"/>
  <c r="G26" i="1"/>
  <c r="E26" i="1"/>
  <c r="G23" i="1"/>
  <c r="E23" i="1"/>
  <c r="G36" i="1"/>
  <c r="H16" i="1"/>
  <c r="E16" i="1"/>
  <c r="E32" i="1" s="1"/>
  <c r="E36" i="1" s="1"/>
  <c r="E46" i="1"/>
  <c r="D52" i="1"/>
  <c r="F12" i="1"/>
  <c r="F20" i="1"/>
  <c r="C34" i="1"/>
  <c r="D34" i="1"/>
  <c r="H34" i="1"/>
  <c r="E34" i="1"/>
  <c r="F34" i="1"/>
  <c r="G34" i="1"/>
  <c r="I33" i="1"/>
  <c r="C52" i="1"/>
  <c r="D46" i="1"/>
  <c r="F49" i="1"/>
  <c r="F52" i="1"/>
  <c r="G49" i="1"/>
  <c r="E52" i="1"/>
  <c r="G52" i="1"/>
  <c r="G46" i="1"/>
  <c r="G12" i="1"/>
  <c r="F46" i="1"/>
  <c r="G20" i="1"/>
  <c r="D20" i="1"/>
  <c r="D36" i="1"/>
  <c r="F36" i="1"/>
  <c r="C20" i="1"/>
  <c r="D12" i="1"/>
  <c r="D49" i="1"/>
  <c r="H12" i="1"/>
  <c r="D17" i="1"/>
  <c r="F17" i="1"/>
  <c r="C17" i="1"/>
  <c r="H20" i="1"/>
  <c r="H46" i="1"/>
  <c r="C49" i="1"/>
  <c r="H49" i="1"/>
  <c r="H52" i="1"/>
  <c r="E12" i="1"/>
  <c r="E49" i="1"/>
  <c r="K12" i="2"/>
  <c r="G13" i="2" s="1"/>
  <c r="G17" i="1"/>
  <c r="H32" i="1" l="1"/>
  <c r="H36" i="1" s="1"/>
  <c r="G38" i="1"/>
  <c r="E17" i="1"/>
  <c r="E38" i="1"/>
  <c r="H17" i="1"/>
  <c r="C13" i="2"/>
  <c r="K14" i="2" s="1"/>
  <c r="F38" i="1"/>
  <c r="D38" i="1"/>
  <c r="D41" i="1" l="1"/>
  <c r="D58" i="1" s="1"/>
  <c r="F41" i="1"/>
  <c r="F58" i="1" s="1"/>
  <c r="H38" i="1"/>
  <c r="E41" i="1"/>
  <c r="E58" i="1" s="1"/>
  <c r="G41" i="1"/>
  <c r="G58" i="1" s="1"/>
  <c r="G39" i="1"/>
  <c r="E39" i="1"/>
  <c r="C38" i="1"/>
  <c r="D39" i="1"/>
  <c r="F39" i="1"/>
  <c r="F54" i="1" l="1"/>
  <c r="D54" i="1"/>
  <c r="G54" i="1"/>
  <c r="G56" i="1" s="1"/>
  <c r="C41" i="1"/>
  <c r="C58" i="1" s="1"/>
  <c r="C54" i="1"/>
  <c r="C56" i="1" s="1"/>
  <c r="E54" i="1"/>
  <c r="E56" i="1" s="1"/>
  <c r="H41" i="1"/>
  <c r="H58" i="1" s="1"/>
  <c r="H39" i="1"/>
  <c r="G60" i="1"/>
  <c r="E60" i="1"/>
  <c r="C60" i="1"/>
  <c r="C39" i="1"/>
  <c r="I51" i="1"/>
  <c r="F60" i="1" l="1"/>
  <c r="F56" i="1"/>
  <c r="D56" i="1"/>
  <c r="D60" i="1"/>
  <c r="H54" i="1"/>
  <c r="H56" i="1" s="1"/>
  <c r="H60" i="1"/>
  <c r="I36" i="1" l="1"/>
  <c r="J51" i="1" l="1"/>
  <c r="J33" i="1"/>
  <c r="J12" i="1"/>
  <c r="J36" i="1" l="1"/>
  <c r="J41" i="1"/>
  <c r="J39" i="1" l="1"/>
  <c r="J54" i="1"/>
  <c r="K51" i="1" l="1"/>
  <c r="K33" i="1"/>
  <c r="K12" i="1"/>
  <c r="K41" i="1" l="1"/>
  <c r="K54" i="1" l="1"/>
  <c r="K39" i="1"/>
  <c r="K36" i="1"/>
  <c r="L33" i="1"/>
  <c r="L51" i="1"/>
  <c r="L12" i="1"/>
  <c r="L36" i="1" l="1"/>
  <c r="L39" i="1" l="1"/>
  <c r="L41" i="1"/>
  <c r="L54" i="1" s="1"/>
  <c r="M33" i="1" l="1"/>
  <c r="M51" i="1"/>
  <c r="M12" i="1"/>
  <c r="M36" i="1" l="1"/>
  <c r="M41" i="1" l="1"/>
  <c r="M39" i="1"/>
  <c r="M54" i="1" l="1"/>
  <c r="N33" i="1" l="1"/>
  <c r="N51" i="1"/>
  <c r="N12" i="1"/>
  <c r="O33" i="1" l="1"/>
  <c r="O51" i="1"/>
  <c r="P11" i="1" l="1"/>
  <c r="P33" i="1" l="1"/>
  <c r="P51" i="1"/>
  <c r="Q11" i="1" l="1"/>
  <c r="Q33" i="1" l="1"/>
  <c r="Q51" i="1"/>
  <c r="R51" i="1" l="1"/>
  <c r="R11" i="1"/>
  <c r="R33" i="1" l="1"/>
  <c r="I41" i="1" l="1"/>
  <c r="I39" i="1"/>
  <c r="I54" i="1"/>
  <c r="I60" i="1" s="1"/>
  <c r="I61" i="1" s="1"/>
  <c r="N30" i="1"/>
  <c r="O32" i="1"/>
  <c r="O36" i="1" s="1"/>
  <c r="P30" i="1"/>
  <c r="Q30" i="1"/>
  <c r="R30" i="1"/>
  <c r="R32" i="1" l="1"/>
  <c r="R41" i="1" s="1"/>
  <c r="Q32" i="1"/>
  <c r="Q39" i="1" s="1"/>
  <c r="O30" i="1"/>
  <c r="R36" i="1"/>
  <c r="P32" i="1"/>
  <c r="N32" i="1"/>
  <c r="R39" i="1" l="1"/>
  <c r="R54" i="1"/>
  <c r="Q36" i="1"/>
  <c r="Q41" i="1"/>
  <c r="Q54" i="1" s="1"/>
  <c r="S58" i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N36" i="1"/>
  <c r="P36" i="1"/>
  <c r="O41" i="1"/>
  <c r="O39" i="1"/>
  <c r="N41" i="1" l="1"/>
  <c r="N54" i="1" s="1"/>
  <c r="N39" i="1"/>
  <c r="P39" i="1"/>
  <c r="P41" i="1"/>
  <c r="P54" i="1" s="1"/>
  <c r="O54" i="1"/>
  <c r="F63" i="1" l="1"/>
  <c r="H66" i="1" s="1"/>
  <c r="H68" i="1" s="1"/>
  <c r="H71" i="1" s="1"/>
  <c r="J60" i="1"/>
  <c r="J61" i="1" s="1"/>
  <c r="K60" i="1"/>
  <c r="K61" i="1" s="1"/>
  <c r="L60" i="1"/>
  <c r="L61" i="1" s="1"/>
  <c r="M60" i="1"/>
  <c r="M61" i="1" s="1"/>
  <c r="N60" i="1"/>
  <c r="N61" i="1" s="1"/>
  <c r="O60" i="1"/>
  <c r="O61" i="1" s="1"/>
  <c r="Q60" i="1"/>
  <c r="Q61" i="1" s="1"/>
  <c r="P60" i="1"/>
  <c r="P61" i="1" s="1"/>
  <c r="R60" i="1"/>
  <c r="R61" i="1" s="1"/>
  <c r="C63" i="1" l="1"/>
  <c r="C64" i="1" s="1"/>
  <c r="G66" i="1" s="1"/>
  <c r="G68" i="1" s="1"/>
  <c r="G71" i="1" s="1"/>
  <c r="E71" i="1" s="1"/>
  <c r="J6" i="1" l="1"/>
  <c r="N5" i="1" s="1"/>
  <c r="L65" i="1"/>
</calcChain>
</file>

<file path=xl/sharedStrings.xml><?xml version="1.0" encoding="utf-8"?>
<sst xmlns="http://schemas.openxmlformats.org/spreadsheetml/2006/main" count="1062" uniqueCount="150">
  <si>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</si>
  <si>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</si>
  <si>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</si>
  <si>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</si>
  <si>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</si>
  <si>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</si>
  <si>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</si>
  <si>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</si>
  <si>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</si>
  <si>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</si>
  <si>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</si>
  <si>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</si>
  <si>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</si>
  <si>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</si>
  <si>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</si>
  <si>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</si>
  <si>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</si>
  <si>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</si>
  <si>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</si>
  <si>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</si>
  <si>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</si>
  <si>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</si>
  <si>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</si>
  <si>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</si>
  <si>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</si>
  <si>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</si>
  <si>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</si>
  <si>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</si>
  <si>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</si>
  <si>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</si>
  <si>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</si>
  <si>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</si>
  <si>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</si>
  <si>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</si>
  <si>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</si>
  <si>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</si>
  <si>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</si>
  <si>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</si>
  <si>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</si>
  <si>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</si>
  <si>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</si>
  <si>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</si>
  <si>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</si>
  <si>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</si>
  <si>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</si>
  <si>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</si>
  <si>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</si>
  <si>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</si>
  <si>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</si>
  <si>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</si>
  <si>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</si>
  <si>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</si>
  <si>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Total costs and expenses</t>
  </si>
  <si>
    <t>Net income (loss)</t>
  </si>
  <si>
    <t>Diluted</t>
  </si>
  <si>
    <t>Basic</t>
  </si>
  <si>
    <t>Other, net</t>
  </si>
  <si>
    <t>Other</t>
  </si>
  <si>
    <t>Other income</t>
  </si>
  <si>
    <t>Terminal Growth Rate</t>
  </si>
  <si>
    <t>​</t>
  </si>
  <si>
    <t>For the Years Ended December 31,</t>
  </si>
  <si>
    <t>2022</t>
  </si>
  <si>
    <t>2021</t>
  </si>
  <si>
    <t>2020</t>
  </si>
  <si>
    <t>Revenue:</t>
  </si>
  <si>
    <t>Service revenue</t>
  </si>
  <si>
    <t>Equipment sales and other revenue</t>
  </si>
  <si>
    <t>Total revenue</t>
  </si>
  <si>
    <t>Costs and Expenses (exclusive of depreciation):</t>
  </si>
  <si>
    <t>Cost of services</t>
  </si>
  <si>
    <t>Cost of sales - equipment and other</t>
  </si>
  <si>
    <t>Selling, general and administrative expenses</t>
  </si>
  <si>
    <t>Impairment of long-lived assets (Note 2)</t>
  </si>
  <si>
    <t>—</t>
  </si>
  <si>
    <t>Operating income (loss)</t>
  </si>
  <si>
    <t>Other Income (Expense):</t>
  </si>
  <si>
    <t>Interest income</t>
  </si>
  <si>
    <t>Interest expense, net of amounts capitalized</t>
  </si>
  <si>
    <t>Total other income (expense)</t>
  </si>
  <si>
    <t>Income (loss) before income taxes</t>
  </si>
  <si>
    <t>Income tax (provision) benefit, net</t>
  </si>
  <si>
    <t>Less: Net income (loss) attributable to noncontrolling interests, net of tax</t>
  </si>
  <si>
    <t>Net income (loss) attributable to DISH Network</t>
  </si>
  <si>
    <t>Cash Flows From Operating Activities:</t>
  </si>
  <si>
    <t>Adjustments to reconcile net income (loss) to net cash flows from operating activities:</t>
  </si>
  <si>
    <t>Realized and unrealized losses (gains) on investments, derivatives and other</t>
  </si>
  <si>
    <t>Non-cash, stock-based compensation</t>
  </si>
  <si>
    <t>Deferred tax expense (benefit)</t>
  </si>
  <si>
    <t>Changes in allowance for credit losses</t>
  </si>
  <si>
    <t>Change in long-term deferred revenue and other long-term liabilities</t>
  </si>
  <si>
    <t>Changes in current assets and current liabilities, net</t>
  </si>
  <si>
    <t>Trade accounts receivable</t>
  </si>
  <si>
    <t>Prepaid and accrued income taxes</t>
  </si>
  <si>
    <t>Inventory</t>
  </si>
  <si>
    <t>Other current assets</t>
  </si>
  <si>
    <t>Trade accounts payable</t>
  </si>
  <si>
    <t>Deferred revenue and other</t>
  </si>
  <si>
    <t>Accrued programming and other accrued expenses</t>
  </si>
  <si>
    <t>Net cash flows from operating activities</t>
  </si>
  <si>
    <t>Cash Flows From Investing Activities:</t>
  </si>
  <si>
    <t>Purchases of marketable investment securities</t>
  </si>
  <si>
    <t>Sales and maturities of marketable investment securities</t>
  </si>
  <si>
    <t>Purchases of property and equipment</t>
  </si>
  <si>
    <t>Capitalized interest related to FCC authorizations (Note 2)</t>
  </si>
  <si>
    <t>Refund of FCC authorization deposit</t>
  </si>
  <si>
    <t>Purchases of FCC authorizations, including deposits</t>
  </si>
  <si>
    <t>Boost Mobile Acquisition</t>
  </si>
  <si>
    <t>Net cash flows from investing activities</t>
  </si>
  <si>
    <t>Cash Flows From Financing Activities:</t>
  </si>
  <si>
    <t>Repayment of long-term debt and finance lease obligations</t>
  </si>
  <si>
    <t>Redemption and repurchases of senior notes</t>
  </si>
  <si>
    <t>Northstar Spectrum LLC Purchase Agreement</t>
  </si>
  <si>
    <t>Proceeds from issuance of senior notes</t>
  </si>
  <si>
    <t>Proceeds from issuance of convertible notes</t>
  </si>
  <si>
    <t>Net proceeds from Class A common stock options exercised and stock issued under the Employee Stock Purchase Plan</t>
  </si>
  <si>
    <t>Debt issuance costs and debt discount</t>
  </si>
  <si>
    <t>Net cash flows from financing activities</t>
  </si>
  <si>
    <t>Net increase (decrease) in cash, cash equivalents, restricted cash and cash equivalents</t>
  </si>
  <si>
    <t>Cash, cash equivalents, restricted cash and cash equivalents, beginning of period (Note 6)</t>
  </si>
  <si>
    <t>Cash, cash equivalents, restricted cash and cash equivalents, end of period (Note 6)</t>
  </si>
  <si>
    <t>2019</t>
  </si>
  <si>
    <t>2018</t>
  </si>
  <si>
    <t>2017</t>
  </si>
  <si>
    <t>Subscriber-related revenue</t>
  </si>
  <si>
    <t>Costs and Expenses (exclusive of depreciation shown separately below - Note 8):</t>
  </si>
  <si>
    <t>Subscriber-related expenses</t>
  </si>
  <si>
    <t>Satellite and transmission expenses</t>
  </si>
  <si>
    <t>Subscriber acquisition costs:</t>
  </si>
  <si>
    <t>Cost of sales - subscriber promotion subsidies</t>
  </si>
  <si>
    <t>Other subscriber acquisition costs</t>
  </si>
  <si>
    <t>Subscriber acquisition advertising</t>
  </si>
  <si>
    <t>Total subscriber acquisition costs</t>
  </si>
  <si>
    <t>General and administrative expenses</t>
  </si>
  <si>
    <t>Litigation expense (Note 15)</t>
  </si>
  <si>
    <t>Depreciation and amortization (Note 8)</t>
  </si>
  <si>
    <t>Impairment of long-lived assets (Note 8)</t>
  </si>
  <si>
    <t>Weighted-average common shares outstanding - Class A and B common stock:</t>
  </si>
  <si>
    <t>Impairment of long-lived assets</t>
  </si>
  <si>
    <t>Realized and unrealized losses (gains) on investments</t>
  </si>
  <si>
    <t>Allowance for doubtful accounts</t>
  </si>
  <si>
    <t>Purchases of FCC authorizations, including deposits (Note 15)</t>
  </si>
  <si>
    <t>Purchases of strategic investments</t>
  </si>
  <si>
    <t>Proceeds from issuance of convertible notes (Note 10)</t>
  </si>
  <si>
    <t>Payments made to parent of transferred businesses</t>
  </si>
  <si>
    <t>Stock Rights Offering</t>
  </si>
  <si>
    <t>Debt issuance costs</t>
  </si>
  <si>
    <t>% EBIAT</t>
  </si>
  <si>
    <t>Dish Network DCF</t>
  </si>
  <si>
    <t>Update: 14/09/2023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</si>
</sst>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8" formatCode="_(\$* #,##0_);_(\$* \(#,##0\);_(\$* \-_);_(@_)"/>
    <numFmt numFmtId="169" formatCode="\(#,##0_);[Red]\(#,##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0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0" applyNumberFormat="1" applyAlignment="1"/>
    <xf numFmtId="0" fontId="10" fillId="0" borderId="0" xfId="0" applyFont="1" applyAlignment="1"/>
    <xf numFmtId="0" fontId="11" fillId="0" borderId="0" xfId="0" applyFont="1"/>
    <xf numFmtId="0" fontId="0" fillId="0" borderId="0" xfId="0" applyAlignment="1"/>
    <xf numFmtId="3" fontId="0" fillId="0" borderId="0" xfId="0" applyNumberFormat="1" applyAlignment="1"/>
    <xf numFmtId="3" fontId="3" fillId="2" borderId="0" xfId="1" applyNumberFormat="1" applyFont="1" applyFill="1"/>
    <xf numFmtId="0" fontId="7" fillId="3" borderId="0" xfId="0" applyFont="1" applyFill="1"/>
    <xf numFmtId="0" fontId="7" fillId="2" borderId="0" xfId="1" applyNumberFormat="1" applyFont="1" applyFill="1"/>
    <xf numFmtId="0" fontId="7" fillId="2" borderId="3" xfId="1" applyNumberFormat="1" applyFont="1" applyFill="1" applyBorder="1"/>
    <xf numFmtId="0" fontId="7" fillId="2" borderId="0" xfId="1" applyNumberFormat="1" applyFont="1" applyFill="1" applyBorder="1"/>
    <xf numFmtId="1" fontId="7" fillId="2" borderId="0" xfId="1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72"/>
  <sheetViews>
    <sheetView tabSelected="1" topLeftCell="D58" zoomScaleNormal="100" workbookViewId="0">
      <selection activeCell="K72" sqref="K72"/>
    </sheetView>
  </sheetViews>
  <sheetFormatPr defaultRowHeight="15" x14ac:dyDescent="0.25"/>
  <cols>
    <col min="1" max="1" width="9.140625" style="2"/>
    <col min="2" max="2" width="17.28515625" style="2" customWidth="1"/>
    <col min="3" max="3" width="12.7109375" style="2" bestFit="1" customWidth="1"/>
    <col min="4" max="4" width="10.7109375" style="2" customWidth="1"/>
    <col min="5" max="5" width="10.140625" style="2" customWidth="1"/>
    <col min="6" max="6" width="12.7109375" style="2" bestFit="1" customWidth="1"/>
    <col min="7" max="7" width="10.140625" style="2" bestFit="1" customWidth="1"/>
    <col min="8" max="8" width="11.140625" style="2" bestFit="1" customWidth="1"/>
    <col min="9" max="9" width="10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7109375" style="2" bestFit="1" customWidth="1"/>
    <col min="18" max="18" width="11.1406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148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WACC!K14+1%</f>
        <v>0.11971959136798853</v>
      </c>
      <c r="F5" s="2"/>
      <c r="G5" s="1"/>
      <c r="H5" s="1" t="s">
        <v>2</v>
      </c>
      <c r="I5" s="1"/>
      <c r="J5" s="7">
        <v>6.26</v>
      </c>
      <c r="K5" s="1"/>
      <c r="L5" s="1" t="s">
        <v>3</v>
      </c>
      <c r="M5" s="1"/>
      <c r="N5" s="7">
        <f>(J6/J5)-1</f>
        <v>0.17364905411588238</v>
      </c>
      <c r="O5" s="1"/>
      <c r="P5" s="1" t="s">
        <v>149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-0.01</v>
      </c>
      <c r="F6" s="2"/>
      <c r="G6" s="1"/>
      <c r="H6" s="1" t="s">
        <v>5</v>
      </c>
      <c r="I6" s="1"/>
      <c r="J6" s="58">
        <f>E71</f>
        <v>7.3470430787654237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f>'Raw IS'!K6</f>
        <v>14391375</v>
      </c>
      <c r="D11" s="11">
        <f>'Raw IS'!L6</f>
        <v>13621302</v>
      </c>
      <c r="E11" s="11">
        <f>'Raw IS'!M6</f>
        <v>12807684</v>
      </c>
      <c r="F11" s="11">
        <f>'Raw IS'!D6</f>
        <v>15493435</v>
      </c>
      <c r="G11" s="11">
        <f>'Raw IS'!E6</f>
        <v>17881106</v>
      </c>
      <c r="H11" s="11">
        <f>'Raw IS'!F6</f>
        <v>16679407</v>
      </c>
      <c r="I11" s="20">
        <v>15490000</v>
      </c>
      <c r="J11" s="18">
        <v>15090000</v>
      </c>
      <c r="K11" s="18">
        <v>15200000</v>
      </c>
      <c r="L11" s="18">
        <v>14470000</v>
      </c>
      <c r="M11" s="18">
        <v>14630000</v>
      </c>
      <c r="N11" s="18">
        <v>14610000</v>
      </c>
      <c r="O11" s="18">
        <v>14610000</v>
      </c>
      <c r="P11" s="18">
        <f t="shared" ref="J11:R11" si="1">O11*(1+P12)</f>
        <v>14463900</v>
      </c>
      <c r="Q11" s="18">
        <f t="shared" si="1"/>
        <v>14319261</v>
      </c>
      <c r="R11" s="18">
        <f t="shared" si="1"/>
        <v>14176068.390000001</v>
      </c>
    </row>
    <row r="12" spans="1:18" s="52" customFormat="1" x14ac:dyDescent="0.25">
      <c r="A12" s="1"/>
      <c r="B12" s="73" t="s">
        <v>8</v>
      </c>
      <c r="C12" s="74"/>
      <c r="D12" s="74">
        <f>(D11/C11)-1</f>
        <v>-5.3509341532688826E-2</v>
      </c>
      <c r="E12" s="74">
        <f>(E11/D11)-1</f>
        <v>-5.9731294409300917E-2</v>
      </c>
      <c r="F12" s="74">
        <f>(F11/E11)-1</f>
        <v>0.20969841229686814</v>
      </c>
      <c r="G12" s="74">
        <f>(G11/F11)-1</f>
        <v>0.15410856275577367</v>
      </c>
      <c r="H12" s="74">
        <f>(H11/G11)-1</f>
        <v>-6.7204959245809492E-2</v>
      </c>
      <c r="I12" s="75">
        <f t="shared" ref="I12:R12" si="2">(I11/H11)-1</f>
        <v>-7.130990927914882E-2</v>
      </c>
      <c r="J12" s="74">
        <f t="shared" si="2"/>
        <v>-2.5823111684957989E-2</v>
      </c>
      <c r="K12" s="74">
        <f t="shared" si="2"/>
        <v>7.2895957587806315E-3</v>
      </c>
      <c r="L12" s="74">
        <f t="shared" si="2"/>
        <v>-4.8026315789473695E-2</v>
      </c>
      <c r="M12" s="74">
        <f t="shared" si="2"/>
        <v>1.1057360055286791E-2</v>
      </c>
      <c r="N12" s="74">
        <f t="shared" si="2"/>
        <v>-1.3670539986329056E-3</v>
      </c>
      <c r="O12" s="74">
        <v>-0.01</v>
      </c>
      <c r="P12" s="74">
        <v>-0.01</v>
      </c>
      <c r="Q12" s="74">
        <v>-0.01</v>
      </c>
      <c r="R12" s="74">
        <v>-0.01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69"/>
      <c r="K13" s="69"/>
      <c r="L13" s="69"/>
      <c r="M13" s="69"/>
      <c r="N13" s="69"/>
      <c r="O13" s="69"/>
      <c r="P13" s="69"/>
      <c r="Q13" s="69"/>
      <c r="R13" s="69"/>
    </row>
    <row r="14" spans="1:18" s="52" customFormat="1" x14ac:dyDescent="0.25">
      <c r="A14" s="1"/>
      <c r="B14" s="1" t="s">
        <v>9</v>
      </c>
      <c r="C14" s="11">
        <f>'Raw IS'!K9+'Raw IS'!K10+'Raw IS'!K11+'Raw IS'!K13+'Raw IS'!K14+'Raw IS'!K15</f>
        <v>10877379</v>
      </c>
      <c r="D14" s="11">
        <f>'Raw IS'!L9+'Raw IS'!L10+'Raw IS'!L11+'Raw IS'!L13+'Raw IS'!L14+'Raw IS'!L15</f>
        <v>10036056</v>
      </c>
      <c r="E14" s="11">
        <f>'Raw IS'!M9+'Raw IS'!M10+'Raw IS'!M11+'Raw IS'!M13+'Raw IS'!M14+'Raw IS'!M15</f>
        <v>9504751</v>
      </c>
      <c r="F14" s="11">
        <f>'Raw IS'!D9+'Raw IS'!D10</f>
        <v>10033728</v>
      </c>
      <c r="G14" s="11">
        <f>'Raw IS'!E9+'Raw IS'!E10</f>
        <v>11738283</v>
      </c>
      <c r="H14" s="11">
        <f>'Raw IS'!F9+'Raw IS'!F10</f>
        <v>11371075</v>
      </c>
      <c r="I14" s="70">
        <f>I11-I16</f>
        <v>10866235</v>
      </c>
      <c r="J14" s="71">
        <f t="shared" ref="J14:R14" si="3">J11-J16</f>
        <v>10611288</v>
      </c>
      <c r="K14" s="71">
        <f t="shared" si="3"/>
        <v>10446960</v>
      </c>
      <c r="L14" s="71">
        <f t="shared" si="3"/>
        <v>9810660</v>
      </c>
      <c r="M14" s="71">
        <f t="shared" si="3"/>
        <v>9450980</v>
      </c>
      <c r="N14" s="71">
        <f t="shared" si="3"/>
        <v>9408840</v>
      </c>
      <c r="O14" s="71">
        <f t="shared" si="3"/>
        <v>9379620</v>
      </c>
      <c r="P14" s="71">
        <f t="shared" si="3"/>
        <v>9256896</v>
      </c>
      <c r="Q14" s="71">
        <f t="shared" si="3"/>
        <v>9135688.5179999992</v>
      </c>
      <c r="R14" s="71">
        <f t="shared" si="3"/>
        <v>9015979.4960400015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8"/>
      <c r="K15" s="98"/>
      <c r="L15" s="98"/>
      <c r="M15" s="98"/>
      <c r="N15" s="98"/>
      <c r="O15" s="98"/>
      <c r="P15" s="98"/>
      <c r="Q15" s="98"/>
      <c r="R15" s="98"/>
    </row>
    <row r="16" spans="1:18" s="52" customFormat="1" x14ac:dyDescent="0.25">
      <c r="A16" s="1"/>
      <c r="B16" s="1" t="s">
        <v>10</v>
      </c>
      <c r="C16" s="11">
        <f>C11-C14</f>
        <v>3513996</v>
      </c>
      <c r="D16" s="11">
        <f t="shared" ref="D16:H16" si="4">D11-D14</f>
        <v>3585246</v>
      </c>
      <c r="E16" s="11">
        <f t="shared" si="4"/>
        <v>3302933</v>
      </c>
      <c r="F16" s="11">
        <f t="shared" si="4"/>
        <v>5459707</v>
      </c>
      <c r="G16" s="11">
        <f t="shared" si="4"/>
        <v>6142823</v>
      </c>
      <c r="H16" s="11">
        <f t="shared" si="4"/>
        <v>5308332</v>
      </c>
      <c r="I16" s="20">
        <f>I17*I11</f>
        <v>4623765</v>
      </c>
      <c r="J16" s="97">
        <f t="shared" ref="J16:R16" si="5">J17*J11</f>
        <v>4478712</v>
      </c>
      <c r="K16" s="97">
        <f t="shared" si="5"/>
        <v>4753040</v>
      </c>
      <c r="L16" s="97">
        <f t="shared" si="5"/>
        <v>4659340</v>
      </c>
      <c r="M16" s="97">
        <f t="shared" si="5"/>
        <v>5179020</v>
      </c>
      <c r="N16" s="97">
        <f t="shared" si="5"/>
        <v>5201160</v>
      </c>
      <c r="O16" s="97">
        <f t="shared" si="5"/>
        <v>5230380</v>
      </c>
      <c r="P16" s="97">
        <f t="shared" si="5"/>
        <v>5207004</v>
      </c>
      <c r="Q16" s="97">
        <f t="shared" si="5"/>
        <v>5183572.4819999998</v>
      </c>
      <c r="R16" s="97">
        <f t="shared" si="5"/>
        <v>5160088.89396</v>
      </c>
    </row>
    <row r="17" spans="1:18" s="52" customFormat="1" x14ac:dyDescent="0.25">
      <c r="A17" s="1"/>
      <c r="B17" s="73" t="s">
        <v>11</v>
      </c>
      <c r="C17" s="74">
        <f t="shared" ref="C17:H17" si="6">C16/C11</f>
        <v>0.24417374990228521</v>
      </c>
      <c r="D17" s="74">
        <f t="shared" si="6"/>
        <v>0.26320875933886495</v>
      </c>
      <c r="E17" s="74">
        <f t="shared" si="6"/>
        <v>0.25788682793860312</v>
      </c>
      <c r="F17" s="74">
        <f t="shared" si="6"/>
        <v>0.35238841483505756</v>
      </c>
      <c r="G17" s="74">
        <f t="shared" si="6"/>
        <v>0.34353708322069115</v>
      </c>
      <c r="H17" s="74">
        <f t="shared" si="6"/>
        <v>0.31825663826058087</v>
      </c>
      <c r="I17" s="78">
        <v>0.29849999999999999</v>
      </c>
      <c r="J17" s="99">
        <v>0.29680000000000001</v>
      </c>
      <c r="K17" s="99">
        <v>0.31269999999999998</v>
      </c>
      <c r="L17" s="99">
        <v>0.32200000000000001</v>
      </c>
      <c r="M17" s="99">
        <v>0.35399999999999998</v>
      </c>
      <c r="N17" s="99">
        <v>0.35599999999999998</v>
      </c>
      <c r="O17" s="99">
        <v>0.35799999999999998</v>
      </c>
      <c r="P17" s="99">
        <v>0.36</v>
      </c>
      <c r="Q17" s="99">
        <v>0.36199999999999999</v>
      </c>
      <c r="R17" s="99">
        <v>0.36399999999999999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7"/>
      <c r="K18" s="97"/>
      <c r="L18" s="97"/>
      <c r="M18" s="97"/>
      <c r="N18" s="97"/>
      <c r="O18" s="97"/>
      <c r="P18" s="97"/>
      <c r="Q18" s="97"/>
      <c r="R18" s="97"/>
    </row>
    <row r="19" spans="1:18" s="52" customFormat="1" x14ac:dyDescent="0.25">
      <c r="A19" s="1"/>
      <c r="B19" s="1" t="s">
        <v>39</v>
      </c>
      <c r="C19" s="11">
        <f>'Raw IS'!K17</f>
        <v>687054</v>
      </c>
      <c r="D19" s="11">
        <f>'Raw IS'!L17</f>
        <v>725601</v>
      </c>
      <c r="E19" s="11">
        <f>'Raw IS'!M17</f>
        <v>793480</v>
      </c>
      <c r="F19" s="11">
        <f>'Raw IS'!D11</f>
        <v>1806122</v>
      </c>
      <c r="G19" s="11">
        <f>'Raw IS'!E11</f>
        <v>2214936</v>
      </c>
      <c r="H19" s="11">
        <f>'Raw IS'!F11</f>
        <v>2545593</v>
      </c>
      <c r="I19" s="20">
        <f>I20*I11</f>
        <v>2639217.2652477762</v>
      </c>
      <c r="J19" s="97">
        <f t="shared" ref="J19:R19" si="7">J20*J11</f>
        <v>3064829.4</v>
      </c>
      <c r="K19" s="97">
        <f t="shared" si="7"/>
        <v>3556795.5496688746</v>
      </c>
      <c r="L19" s="97">
        <f t="shared" si="7"/>
        <v>2470473.4933774834</v>
      </c>
      <c r="M19" s="97">
        <f t="shared" si="7"/>
        <v>2047037.8807947023</v>
      </c>
      <c r="N19" s="97">
        <f t="shared" si="7"/>
        <v>2044239.4694744088</v>
      </c>
      <c r="O19" s="97">
        <f t="shared" si="7"/>
        <v>2044239.4694744088</v>
      </c>
      <c r="P19" s="97">
        <f t="shared" si="7"/>
        <v>2023797.0747796646</v>
      </c>
      <c r="Q19" s="97">
        <f t="shared" si="7"/>
        <v>2003559.104031868</v>
      </c>
      <c r="R19" s="97">
        <f t="shared" si="7"/>
        <v>1983523.5129915494</v>
      </c>
    </row>
    <row r="20" spans="1:18" s="52" customFormat="1" x14ac:dyDescent="0.25">
      <c r="A20" s="1"/>
      <c r="B20" s="73" t="s">
        <v>16</v>
      </c>
      <c r="C20" s="74">
        <f t="shared" ref="C20:M20" si="8">C19/C11</f>
        <v>4.7740678010266567E-2</v>
      </c>
      <c r="D20" s="74">
        <f t="shared" si="8"/>
        <v>5.3269577313534343E-2</v>
      </c>
      <c r="E20" s="74">
        <f t="shared" si="8"/>
        <v>6.1953433579404367E-2</v>
      </c>
      <c r="F20" s="74">
        <f t="shared" si="8"/>
        <v>0.11657337446473297</v>
      </c>
      <c r="G20" s="74">
        <f t="shared" si="8"/>
        <v>0.12387019013253431</v>
      </c>
      <c r="H20" s="74">
        <f t="shared" si="8"/>
        <v>0.15261891504895828</v>
      </c>
      <c r="I20" s="75">
        <v>0.17038200550340712</v>
      </c>
      <c r="J20" s="76">
        <v>0.20310333996023855</v>
      </c>
      <c r="K20" s="76">
        <v>0.23399970721505753</v>
      </c>
      <c r="L20" s="76">
        <v>0.17073071827073141</v>
      </c>
      <c r="M20" s="76">
        <v>0.13992056601467548</v>
      </c>
      <c r="N20" s="76">
        <v>0.13992056601467548</v>
      </c>
      <c r="O20" s="76">
        <v>0.13992056601467548</v>
      </c>
      <c r="P20" s="76">
        <v>0.13992056601467548</v>
      </c>
      <c r="Q20" s="76">
        <v>0.13992056601467548</v>
      </c>
      <c r="R20" s="76">
        <v>0.13992056601467548</v>
      </c>
    </row>
    <row r="21" spans="1:18" s="52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68"/>
      <c r="K21" s="68"/>
      <c r="L21" s="68"/>
      <c r="M21" s="68"/>
      <c r="N21" s="68"/>
      <c r="O21" s="68"/>
      <c r="P21" s="68"/>
      <c r="Q21" s="68"/>
      <c r="R21" s="68"/>
    </row>
    <row r="22" spans="1:18" s="52" customFormat="1" x14ac:dyDescent="0.25">
      <c r="A22" s="1"/>
      <c r="B22" s="13" t="s">
        <v>20</v>
      </c>
      <c r="C22" s="93">
        <f>'Raw IS'!K19</f>
        <v>817564</v>
      </c>
      <c r="D22" s="93">
        <f>'Raw IS'!L19</f>
        <v>712024</v>
      </c>
      <c r="E22" s="93">
        <f>'Raw IS'!M19</f>
        <v>630577</v>
      </c>
      <c r="F22" s="93">
        <f>'Raw IS'!D13</f>
        <v>714552</v>
      </c>
      <c r="G22" s="93">
        <f>'Raw IS'!E13</f>
        <v>724852</v>
      </c>
      <c r="H22" s="93">
        <f>'Raw IS'!F13</f>
        <v>717073</v>
      </c>
      <c r="I22" s="94">
        <v>1010000</v>
      </c>
      <c r="J22" s="95">
        <v>1110000</v>
      </c>
      <c r="K22" s="95">
        <v>1410000</v>
      </c>
      <c r="L22" s="95">
        <v>1190000</v>
      </c>
      <c r="M22" s="95">
        <v>1280000</v>
      </c>
      <c r="N22" s="95">
        <v>1390000</v>
      </c>
      <c r="O22" s="95">
        <f>O23*O11</f>
        <v>1241850</v>
      </c>
      <c r="P22" s="96">
        <f t="shared" ref="P22:R22" si="9">P23*P11</f>
        <v>1229431.5</v>
      </c>
      <c r="Q22" s="96">
        <f t="shared" si="9"/>
        <v>1217137.1850000001</v>
      </c>
      <c r="R22" s="96">
        <f t="shared" si="9"/>
        <v>1204965.8131500001</v>
      </c>
    </row>
    <row r="23" spans="1:18" s="52" customFormat="1" x14ac:dyDescent="0.25">
      <c r="A23" s="1"/>
      <c r="B23" s="73" t="s">
        <v>16</v>
      </c>
      <c r="C23" s="74">
        <f>C22/C11</f>
        <v>5.6809304183929613E-2</v>
      </c>
      <c r="D23" s="74">
        <f t="shared" ref="D23:I23" si="10">D22/D11</f>
        <v>5.2272829719214799E-2</v>
      </c>
      <c r="E23" s="74">
        <f t="shared" si="10"/>
        <v>4.9234272175984355E-2</v>
      </c>
      <c r="F23" s="74">
        <f t="shared" si="10"/>
        <v>4.6119662941110216E-2</v>
      </c>
      <c r="G23" s="74">
        <f t="shared" si="10"/>
        <v>4.0537313519644701E-2</v>
      </c>
      <c r="H23" s="74">
        <f t="shared" si="10"/>
        <v>4.2991516425014392E-2</v>
      </c>
      <c r="I23" s="75">
        <f t="shared" si="10"/>
        <v>6.5203357004519041E-2</v>
      </c>
      <c r="J23" s="76">
        <f t="shared" ref="J23" si="11">J22/J11</f>
        <v>7.3558648111332003E-2</v>
      </c>
      <c r="K23" s="76">
        <f t="shared" ref="K23" si="12">K22/K11</f>
        <v>9.2763157894736839E-2</v>
      </c>
      <c r="L23" s="76">
        <f t="shared" ref="L23" si="13">L22/L11</f>
        <v>8.2239115411195579E-2</v>
      </c>
      <c r="M23" s="76">
        <f t="shared" ref="M23" si="14">M22/M11</f>
        <v>8.7491455912508551E-2</v>
      </c>
      <c r="N23" s="76">
        <f t="shared" ref="N23" si="15">N22/N11</f>
        <v>9.5140314852840524E-2</v>
      </c>
      <c r="O23" s="76">
        <v>8.5000000000000006E-2</v>
      </c>
      <c r="P23" s="76">
        <v>8.5000000000000006E-2</v>
      </c>
      <c r="Q23" s="76">
        <v>8.5000000000000006E-2</v>
      </c>
      <c r="R23" s="76">
        <v>8.5000000000000006E-2</v>
      </c>
    </row>
    <row r="24" spans="1:18" s="52" customFormat="1" x14ac:dyDescent="0.25">
      <c r="A24" s="1"/>
      <c r="B24" s="13"/>
      <c r="C24" s="14"/>
      <c r="D24" s="14"/>
      <c r="E24" s="14"/>
      <c r="F24" s="14"/>
      <c r="G24" s="14"/>
      <c r="H24" s="14"/>
      <c r="I24" s="19"/>
      <c r="J24" s="68"/>
      <c r="K24" s="68"/>
      <c r="L24" s="68"/>
      <c r="M24" s="68"/>
      <c r="N24" s="68"/>
      <c r="O24" s="68"/>
      <c r="P24" s="68"/>
      <c r="Q24" s="68"/>
      <c r="R24" s="68"/>
    </row>
    <row r="25" spans="1:18" s="52" customFormat="1" x14ac:dyDescent="0.25">
      <c r="A25" s="1"/>
      <c r="B25" s="13" t="s">
        <v>57</v>
      </c>
      <c r="C25" s="93">
        <f>'Raw IS'!K18+'Raw IS'!K20</f>
        <v>441613</v>
      </c>
      <c r="D25" s="93">
        <v>0</v>
      </c>
      <c r="E25" s="93">
        <v>0</v>
      </c>
      <c r="F25" s="93">
        <f>'Raw IS'!D12</f>
        <v>356418</v>
      </c>
      <c r="G25" s="93">
        <v>0</v>
      </c>
      <c r="H25" s="93">
        <v>0</v>
      </c>
      <c r="I25" s="94">
        <f>I26*I11</f>
        <v>356270</v>
      </c>
      <c r="J25" s="95">
        <v>0</v>
      </c>
      <c r="K25" s="95">
        <v>0</v>
      </c>
      <c r="L25" s="95">
        <f>L26*L11</f>
        <v>332810</v>
      </c>
      <c r="M25" s="95">
        <f t="shared" ref="M25:R25" si="16">M26*M11</f>
        <v>0</v>
      </c>
      <c r="N25" s="95">
        <f t="shared" si="16"/>
        <v>0</v>
      </c>
      <c r="O25" s="95">
        <f t="shared" si="16"/>
        <v>336030</v>
      </c>
      <c r="P25" s="95">
        <f t="shared" si="16"/>
        <v>0</v>
      </c>
      <c r="Q25" s="95">
        <f t="shared" si="16"/>
        <v>0</v>
      </c>
      <c r="R25" s="96">
        <f t="shared" si="16"/>
        <v>326049.57296999998</v>
      </c>
    </row>
    <row r="26" spans="1:18" s="52" customFormat="1" x14ac:dyDescent="0.25">
      <c r="A26" s="1"/>
      <c r="B26" s="73" t="s">
        <v>16</v>
      </c>
      <c r="C26" s="74">
        <f>C25/C11</f>
        <v>3.068594904934379E-2</v>
      </c>
      <c r="D26" s="74">
        <f t="shared" ref="D26:H26" si="17">D25/D11</f>
        <v>0</v>
      </c>
      <c r="E26" s="74">
        <f t="shared" si="17"/>
        <v>0</v>
      </c>
      <c r="F26" s="74">
        <f t="shared" si="17"/>
        <v>2.3004453176458287E-2</v>
      </c>
      <c r="G26" s="74">
        <f t="shared" si="17"/>
        <v>0</v>
      </c>
      <c r="H26" s="74">
        <f t="shared" si="17"/>
        <v>0</v>
      </c>
      <c r="I26" s="75">
        <v>2.3E-2</v>
      </c>
      <c r="J26" s="76">
        <v>0</v>
      </c>
      <c r="K26" s="76">
        <v>0</v>
      </c>
      <c r="L26" s="76">
        <v>2.3E-2</v>
      </c>
      <c r="M26" s="76">
        <v>0</v>
      </c>
      <c r="N26" s="76">
        <v>0</v>
      </c>
      <c r="O26" s="76">
        <v>2.3E-2</v>
      </c>
      <c r="P26" s="76">
        <v>0</v>
      </c>
      <c r="Q26" s="76">
        <v>0</v>
      </c>
      <c r="R26" s="76">
        <v>2.3E-2</v>
      </c>
    </row>
    <row r="27" spans="1:18" s="52" customFormat="1" x14ac:dyDescent="0.25">
      <c r="A27" s="1"/>
      <c r="B27" s="13"/>
      <c r="C27" s="14"/>
      <c r="D27" s="14"/>
      <c r="E27" s="14"/>
      <c r="F27" s="14"/>
      <c r="G27" s="14"/>
      <c r="H27" s="14"/>
      <c r="I27" s="19"/>
      <c r="J27" s="68"/>
      <c r="K27" s="68"/>
      <c r="L27" s="68"/>
      <c r="M27" s="68"/>
      <c r="N27" s="68"/>
      <c r="O27" s="68"/>
      <c r="P27" s="68"/>
      <c r="Q27" s="68"/>
      <c r="R27" s="68"/>
    </row>
    <row r="28" spans="1:18" s="52" customFormat="1" x14ac:dyDescent="0.25">
      <c r="A28" s="1"/>
      <c r="B28" s="1"/>
      <c r="C28" s="11"/>
      <c r="D28" s="11"/>
      <c r="E28" s="11"/>
      <c r="F28" s="11"/>
      <c r="G28" s="11"/>
      <c r="H28" s="11"/>
      <c r="I28" s="38"/>
      <c r="J28" s="100"/>
      <c r="K28" s="100"/>
      <c r="L28" s="100"/>
      <c r="M28" s="100"/>
      <c r="N28" s="100"/>
      <c r="O28" s="100"/>
      <c r="P28" s="100"/>
      <c r="Q28" s="100"/>
      <c r="R28" s="100"/>
    </row>
    <row r="29" spans="1:18" s="52" customFormat="1" x14ac:dyDescent="0.25">
      <c r="A29" s="1"/>
      <c r="B29" s="1" t="s">
        <v>12</v>
      </c>
      <c r="C29" s="11">
        <f>C19+C22+C25</f>
        <v>1946231</v>
      </c>
      <c r="D29" s="11">
        <f t="shared" ref="D29:R29" si="18">D19+D22+D25</f>
        <v>1437625</v>
      </c>
      <c r="E29" s="11">
        <f t="shared" si="18"/>
        <v>1424057</v>
      </c>
      <c r="F29" s="11">
        <f t="shared" si="18"/>
        <v>2877092</v>
      </c>
      <c r="G29" s="11">
        <f t="shared" si="18"/>
        <v>2939788</v>
      </c>
      <c r="H29" s="11">
        <f t="shared" si="18"/>
        <v>3262666</v>
      </c>
      <c r="I29" s="38">
        <f t="shared" si="18"/>
        <v>4005487.2652477762</v>
      </c>
      <c r="J29" s="100">
        <f t="shared" si="18"/>
        <v>4174829.4</v>
      </c>
      <c r="K29" s="100">
        <f t="shared" si="18"/>
        <v>4966795.5496688746</v>
      </c>
      <c r="L29" s="100">
        <f t="shared" si="18"/>
        <v>3993283.4933774834</v>
      </c>
      <c r="M29" s="100">
        <f t="shared" si="18"/>
        <v>3327037.8807947021</v>
      </c>
      <c r="N29" s="100">
        <f t="shared" si="18"/>
        <v>3434239.4694744088</v>
      </c>
      <c r="O29" s="100">
        <f t="shared" si="18"/>
        <v>3622119.4694744088</v>
      </c>
      <c r="P29" s="100">
        <f t="shared" si="18"/>
        <v>3253228.5747796646</v>
      </c>
      <c r="Q29" s="100">
        <f t="shared" si="18"/>
        <v>3220696.2890318679</v>
      </c>
      <c r="R29" s="100">
        <f t="shared" si="18"/>
        <v>3514538.8991115494</v>
      </c>
    </row>
    <row r="30" spans="1:18" s="52" customFormat="1" x14ac:dyDescent="0.25">
      <c r="A30" s="1"/>
      <c r="B30" s="13" t="s">
        <v>16</v>
      </c>
      <c r="C30" s="14">
        <f>C29/C11</f>
        <v>0.13523593124353997</v>
      </c>
      <c r="D30" s="14">
        <f t="shared" ref="D30:R30" si="19">D29/D11</f>
        <v>0.10554240703274914</v>
      </c>
      <c r="E30" s="14">
        <f t="shared" si="19"/>
        <v>0.11118770575538872</v>
      </c>
      <c r="F30" s="14">
        <f t="shared" si="19"/>
        <v>0.18569749058230148</v>
      </c>
      <c r="G30" s="14">
        <f t="shared" si="19"/>
        <v>0.16440750365217902</v>
      </c>
      <c r="H30" s="14">
        <f t="shared" si="19"/>
        <v>0.19561043147397267</v>
      </c>
      <c r="I30" s="19">
        <v>0.25858536250792613</v>
      </c>
      <c r="J30" s="68">
        <v>0.27666198807157055</v>
      </c>
      <c r="K30" s="68">
        <v>0.32676286510979435</v>
      </c>
      <c r="L30" s="68">
        <v>0.27596983368192696</v>
      </c>
      <c r="M30" s="68">
        <v>0.22741202192718402</v>
      </c>
      <c r="N30" s="68">
        <f t="shared" si="19"/>
        <v>0.235060880867516</v>
      </c>
      <c r="O30" s="68">
        <f t="shared" si="19"/>
        <v>0.24792056601467549</v>
      </c>
      <c r="P30" s="68">
        <f t="shared" si="19"/>
        <v>0.22492056601467547</v>
      </c>
      <c r="Q30" s="68">
        <f t="shared" si="19"/>
        <v>0.22492056601467547</v>
      </c>
      <c r="R30" s="68">
        <f t="shared" si="19"/>
        <v>0.24792056601467546</v>
      </c>
    </row>
    <row r="31" spans="1:18" s="52" customFormat="1" x14ac:dyDescent="0.25">
      <c r="A31" s="1"/>
      <c r="B31" s="1"/>
      <c r="C31" s="14"/>
      <c r="D31" s="14"/>
      <c r="E31" s="14"/>
      <c r="F31" s="14"/>
      <c r="G31" s="14"/>
      <c r="H31" s="14"/>
      <c r="I31" s="19"/>
      <c r="J31" s="68"/>
      <c r="K31" s="68"/>
      <c r="L31" s="68"/>
      <c r="M31" s="68"/>
      <c r="N31" s="68"/>
      <c r="O31" s="68"/>
      <c r="P31" s="68"/>
      <c r="Q31" s="68"/>
      <c r="R31" s="68"/>
    </row>
    <row r="32" spans="1:18" s="52" customFormat="1" x14ac:dyDescent="0.25">
      <c r="A32" s="1"/>
      <c r="B32" s="1" t="s">
        <v>13</v>
      </c>
      <c r="C32" s="11">
        <f>C16-C29</f>
        <v>1567765</v>
      </c>
      <c r="D32" s="11">
        <f t="shared" ref="D32:R32" si="20">D16-D29</f>
        <v>2147621</v>
      </c>
      <c r="E32" s="11">
        <f t="shared" si="20"/>
        <v>1878876</v>
      </c>
      <c r="F32" s="11">
        <f t="shared" si="20"/>
        <v>2582615</v>
      </c>
      <c r="G32" s="11">
        <f t="shared" si="20"/>
        <v>3203035</v>
      </c>
      <c r="H32" s="11">
        <f t="shared" si="20"/>
        <v>2045666</v>
      </c>
      <c r="I32" s="38">
        <f t="shared" si="20"/>
        <v>618277.73475222383</v>
      </c>
      <c r="J32" s="100">
        <f t="shared" si="20"/>
        <v>303882.60000000009</v>
      </c>
      <c r="K32" s="100">
        <f t="shared" si="20"/>
        <v>-213755.54966887459</v>
      </c>
      <c r="L32" s="100">
        <f t="shared" si="20"/>
        <v>666056.50662251655</v>
      </c>
      <c r="M32" s="100">
        <f t="shared" si="20"/>
        <v>1851982.1192052979</v>
      </c>
      <c r="N32" s="100">
        <f t="shared" si="20"/>
        <v>1766920.5305255912</v>
      </c>
      <c r="O32" s="100">
        <f t="shared" si="20"/>
        <v>1608260.5305255912</v>
      </c>
      <c r="P32" s="100">
        <f t="shared" si="20"/>
        <v>1953775.4252203354</v>
      </c>
      <c r="Q32" s="100">
        <f t="shared" si="20"/>
        <v>1962876.192968132</v>
      </c>
      <c r="R32" s="100">
        <f t="shared" si="20"/>
        <v>1645549.9948484506</v>
      </c>
    </row>
    <row r="33" spans="1:86" s="52" customFormat="1" x14ac:dyDescent="0.25">
      <c r="A33" s="1"/>
      <c r="B33" s="1" t="s">
        <v>58</v>
      </c>
      <c r="C33" s="91">
        <f>'Raw IS'!K29</f>
        <v>82322</v>
      </c>
      <c r="D33" s="91">
        <f>'Raw IS'!L29</f>
        <v>41554</v>
      </c>
      <c r="E33" s="91">
        <f>'Raw IS'!M29</f>
        <v>65051</v>
      </c>
      <c r="F33" s="66">
        <f>'Raw IS'!D22</f>
        <v>-10404</v>
      </c>
      <c r="G33" s="66">
        <f>'Raw IS'!E22</f>
        <v>15721</v>
      </c>
      <c r="H33" s="66">
        <f>'Raw IS'!F22</f>
        <v>1058977</v>
      </c>
      <c r="I33" s="20">
        <f t="shared" ref="I33:R33" si="21">I34*I11</f>
        <v>46470</v>
      </c>
      <c r="J33" s="97">
        <f t="shared" si="21"/>
        <v>45270</v>
      </c>
      <c r="K33" s="97">
        <f t="shared" si="21"/>
        <v>45600</v>
      </c>
      <c r="L33" s="97">
        <f t="shared" si="21"/>
        <v>43410</v>
      </c>
      <c r="M33" s="97">
        <f t="shared" si="21"/>
        <v>43890</v>
      </c>
      <c r="N33" s="97">
        <f t="shared" si="21"/>
        <v>43830</v>
      </c>
      <c r="O33" s="97">
        <f t="shared" si="21"/>
        <v>43830</v>
      </c>
      <c r="P33" s="97">
        <f t="shared" si="21"/>
        <v>43391.700000000004</v>
      </c>
      <c r="Q33" s="97">
        <f t="shared" si="21"/>
        <v>42957.783000000003</v>
      </c>
      <c r="R33" s="97">
        <f t="shared" si="21"/>
        <v>42528.205170000001</v>
      </c>
    </row>
    <row r="34" spans="1:86" s="52" customFormat="1" x14ac:dyDescent="0.25">
      <c r="A34" s="1"/>
      <c r="B34" s="73" t="s">
        <v>16</v>
      </c>
      <c r="C34" s="74">
        <f t="shared" ref="C34:H34" si="22">C33/C11</f>
        <v>5.7202317360224436E-3</v>
      </c>
      <c r="D34" s="74">
        <f t="shared" si="22"/>
        <v>3.0506628514660344E-3</v>
      </c>
      <c r="E34" s="74">
        <f t="shared" si="22"/>
        <v>5.0790603515826907E-3</v>
      </c>
      <c r="F34" s="74">
        <f t="shared" si="22"/>
        <v>-6.7151022352370535E-4</v>
      </c>
      <c r="G34" s="74">
        <f t="shared" si="22"/>
        <v>8.7919617500170296E-4</v>
      </c>
      <c r="H34" s="74">
        <f t="shared" si="22"/>
        <v>6.3490086907765961E-2</v>
      </c>
      <c r="I34" s="75">
        <v>3.0000000000000001E-3</v>
      </c>
      <c r="J34" s="76">
        <v>3.0000000000000001E-3</v>
      </c>
      <c r="K34" s="76">
        <v>3.0000000000000001E-3</v>
      </c>
      <c r="L34" s="76">
        <v>3.0000000000000001E-3</v>
      </c>
      <c r="M34" s="76">
        <v>3.0000000000000001E-3</v>
      </c>
      <c r="N34" s="76">
        <v>3.0000000000000001E-3</v>
      </c>
      <c r="O34" s="76">
        <v>3.0000000000000001E-3</v>
      </c>
      <c r="P34" s="76">
        <v>3.0000000000000001E-3</v>
      </c>
      <c r="Q34" s="76">
        <v>3.0000000000000001E-3</v>
      </c>
      <c r="R34" s="76">
        <v>3.0000000000000001E-3</v>
      </c>
    </row>
    <row r="35" spans="1:86" s="52" customFormat="1" x14ac:dyDescent="0.25">
      <c r="A35" s="1"/>
      <c r="B35" s="1"/>
      <c r="C35" s="66"/>
      <c r="D35" s="66"/>
      <c r="E35" s="66"/>
      <c r="F35" s="66"/>
      <c r="G35" s="66"/>
      <c r="H35" s="66"/>
      <c r="I35" s="12"/>
      <c r="J35" s="98"/>
      <c r="K35" s="98"/>
      <c r="L35" s="98"/>
      <c r="M35" s="98"/>
      <c r="N35" s="98"/>
      <c r="O35" s="98"/>
      <c r="P35" s="98"/>
      <c r="Q35" s="98"/>
      <c r="R35" s="98"/>
    </row>
    <row r="36" spans="1:86" s="52" customFormat="1" x14ac:dyDescent="0.25">
      <c r="A36" s="1"/>
      <c r="B36" s="1" t="s">
        <v>14</v>
      </c>
      <c r="C36" s="11">
        <f>C32+C33</f>
        <v>1650087</v>
      </c>
      <c r="D36" s="11">
        <f t="shared" ref="D36:R36" si="23">D32+D33</f>
        <v>2189175</v>
      </c>
      <c r="E36" s="11">
        <f t="shared" si="23"/>
        <v>1943927</v>
      </c>
      <c r="F36" s="11">
        <f t="shared" si="23"/>
        <v>2572211</v>
      </c>
      <c r="G36" s="11">
        <f t="shared" si="23"/>
        <v>3218756</v>
      </c>
      <c r="H36" s="11">
        <f t="shared" si="23"/>
        <v>3104643</v>
      </c>
      <c r="I36" s="38">
        <f t="shared" si="23"/>
        <v>664747.73475222383</v>
      </c>
      <c r="J36" s="100">
        <f t="shared" si="23"/>
        <v>349152.60000000009</v>
      </c>
      <c r="K36" s="100">
        <f t="shared" si="23"/>
        <v>-168155.54966887459</v>
      </c>
      <c r="L36" s="100">
        <f t="shared" si="23"/>
        <v>709466.50662251655</v>
      </c>
      <c r="M36" s="100">
        <f t="shared" si="23"/>
        <v>1895872.1192052979</v>
      </c>
      <c r="N36" s="100">
        <f t="shared" si="23"/>
        <v>1810750.5305255912</v>
      </c>
      <c r="O36" s="100">
        <f t="shared" si="23"/>
        <v>1652090.5305255912</v>
      </c>
      <c r="P36" s="100">
        <f t="shared" si="23"/>
        <v>1997167.1252203353</v>
      </c>
      <c r="Q36" s="100">
        <f t="shared" si="23"/>
        <v>2005833.975968132</v>
      </c>
      <c r="R36" s="100">
        <f t="shared" si="23"/>
        <v>1688078.2000184506</v>
      </c>
    </row>
    <row r="37" spans="1:86" s="52" customFormat="1" x14ac:dyDescent="0.25">
      <c r="A37" s="1"/>
      <c r="B37" s="1"/>
      <c r="C37" s="21"/>
      <c r="D37" s="21"/>
      <c r="E37" s="21"/>
      <c r="F37" s="21"/>
      <c r="G37" s="21"/>
      <c r="H37" s="66"/>
      <c r="I37" s="12"/>
      <c r="J37" s="98"/>
      <c r="K37" s="98"/>
      <c r="L37" s="98"/>
      <c r="M37" s="98"/>
      <c r="N37" s="98"/>
      <c r="O37" s="98"/>
      <c r="P37" s="98"/>
      <c r="Q37" s="98"/>
      <c r="R37" s="98"/>
    </row>
    <row r="38" spans="1:86" s="52" customFormat="1" x14ac:dyDescent="0.25">
      <c r="A38" s="1"/>
      <c r="B38" s="1" t="s">
        <v>15</v>
      </c>
      <c r="C38" s="11">
        <f t="shared" ref="C38:R38" si="24">C32</f>
        <v>1567765</v>
      </c>
      <c r="D38" s="11">
        <f t="shared" si="24"/>
        <v>2147621</v>
      </c>
      <c r="E38" s="11">
        <f t="shared" si="24"/>
        <v>1878876</v>
      </c>
      <c r="F38" s="11">
        <f t="shared" si="24"/>
        <v>2582615</v>
      </c>
      <c r="G38" s="11">
        <f t="shared" si="24"/>
        <v>3203035</v>
      </c>
      <c r="H38" s="11">
        <f t="shared" si="24"/>
        <v>2045666</v>
      </c>
      <c r="I38" s="38">
        <f t="shared" si="24"/>
        <v>618277.73475222383</v>
      </c>
      <c r="J38" s="100">
        <f t="shared" si="24"/>
        <v>303882.60000000009</v>
      </c>
      <c r="K38" s="100">
        <f t="shared" si="24"/>
        <v>-213755.54966887459</v>
      </c>
      <c r="L38" s="100">
        <f t="shared" si="24"/>
        <v>666056.50662251655</v>
      </c>
      <c r="M38" s="100">
        <f t="shared" si="24"/>
        <v>1851982.1192052979</v>
      </c>
      <c r="N38" s="100">
        <f t="shared" si="24"/>
        <v>1766920.5305255912</v>
      </c>
      <c r="O38" s="100">
        <f t="shared" si="24"/>
        <v>1608260.5305255912</v>
      </c>
      <c r="P38" s="100">
        <f t="shared" si="24"/>
        <v>1953775.4252203354</v>
      </c>
      <c r="Q38" s="100">
        <f t="shared" si="24"/>
        <v>1962876.192968132</v>
      </c>
      <c r="R38" s="100">
        <f t="shared" si="24"/>
        <v>1645549.9948484506</v>
      </c>
    </row>
    <row r="39" spans="1:86" s="52" customFormat="1" x14ac:dyDescent="0.25">
      <c r="A39" s="1"/>
      <c r="B39" s="73" t="s">
        <v>16</v>
      </c>
      <c r="C39" s="74">
        <f t="shared" ref="C39:R39" si="25">C38/C11</f>
        <v>0.10893781865874526</v>
      </c>
      <c r="D39" s="74">
        <f t="shared" si="25"/>
        <v>0.15766635230611581</v>
      </c>
      <c r="E39" s="74">
        <f t="shared" si="25"/>
        <v>0.14669912218321438</v>
      </c>
      <c r="F39" s="74">
        <f t="shared" si="25"/>
        <v>0.16669092425275608</v>
      </c>
      <c r="G39" s="74">
        <f t="shared" si="25"/>
        <v>0.17912957956851214</v>
      </c>
      <c r="H39" s="74">
        <f t="shared" si="25"/>
        <v>0.12264620678660818</v>
      </c>
      <c r="I39" s="75">
        <f t="shared" si="25"/>
        <v>3.9914637492073843E-2</v>
      </c>
      <c r="J39" s="76">
        <f t="shared" si="25"/>
        <v>2.0138011928429431E-2</v>
      </c>
      <c r="K39" s="76">
        <f t="shared" si="25"/>
        <v>-1.4062865109794381E-2</v>
      </c>
      <c r="L39" s="76">
        <f t="shared" si="25"/>
        <v>4.6030166318073017E-2</v>
      </c>
      <c r="M39" s="76">
        <f t="shared" si="25"/>
        <v>0.12658797807281599</v>
      </c>
      <c r="N39" s="76">
        <f t="shared" si="25"/>
        <v>0.12093911913248399</v>
      </c>
      <c r="O39" s="76">
        <f t="shared" si="25"/>
        <v>0.11007943398532452</v>
      </c>
      <c r="P39" s="76">
        <f t="shared" si="25"/>
        <v>0.13507943398532452</v>
      </c>
      <c r="Q39" s="76">
        <f t="shared" si="25"/>
        <v>0.13707943398532452</v>
      </c>
      <c r="R39" s="76">
        <f t="shared" si="25"/>
        <v>0.11607943398532451</v>
      </c>
    </row>
    <row r="40" spans="1:86" s="52" customFormat="1" x14ac:dyDescent="0.25">
      <c r="A40" s="1"/>
      <c r="B40" s="13"/>
      <c r="C40" s="1"/>
      <c r="D40" s="1"/>
      <c r="E40" s="2"/>
      <c r="F40" s="1"/>
      <c r="G40" s="1"/>
      <c r="H40" s="1"/>
      <c r="I40" s="12"/>
      <c r="J40" s="98"/>
      <c r="K40" s="98"/>
      <c r="L40" s="98"/>
      <c r="M40" s="98"/>
      <c r="N40" s="98"/>
      <c r="O40" s="98"/>
      <c r="P40" s="98"/>
      <c r="Q40" s="98"/>
      <c r="R40" s="98"/>
    </row>
    <row r="41" spans="1:86" s="52" customFormat="1" x14ac:dyDescent="0.25">
      <c r="A41" s="1"/>
      <c r="B41" s="1" t="s">
        <v>17</v>
      </c>
      <c r="C41" s="11">
        <f>C42*C38</f>
        <v>-515320.00000000006</v>
      </c>
      <c r="D41" s="11">
        <f t="shared" ref="D41:H41" si="26">D42*D38</f>
        <v>533684</v>
      </c>
      <c r="E41" s="11">
        <f t="shared" si="26"/>
        <v>451358</v>
      </c>
      <c r="F41" s="11">
        <f t="shared" si="26"/>
        <v>698275</v>
      </c>
      <c r="G41" s="11">
        <f t="shared" si="26"/>
        <v>762810</v>
      </c>
      <c r="H41" s="11">
        <f t="shared" si="26"/>
        <v>731736</v>
      </c>
      <c r="I41" s="20">
        <f>I38*I42</f>
        <v>131693.15750222368</v>
      </c>
      <c r="J41" s="97">
        <f t="shared" ref="J41:R41" si="27">J38*J42</f>
        <v>75970.650000000023</v>
      </c>
      <c r="K41" s="97">
        <f t="shared" si="27"/>
        <v>-52370.109668874276</v>
      </c>
      <c r="L41" s="97">
        <f t="shared" si="27"/>
        <v>163183.84412251654</v>
      </c>
      <c r="M41" s="97">
        <f t="shared" si="27"/>
        <v>453735.61920529796</v>
      </c>
      <c r="N41" s="97">
        <f t="shared" si="27"/>
        <v>432895.52997876983</v>
      </c>
      <c r="O41" s="97">
        <f t="shared" si="27"/>
        <v>394023.82997876982</v>
      </c>
      <c r="P41" s="97">
        <f t="shared" si="27"/>
        <v>478674.97917898215</v>
      </c>
      <c r="Q41" s="97">
        <f t="shared" si="27"/>
        <v>480904.66727719235</v>
      </c>
      <c r="R41" s="97">
        <f t="shared" si="27"/>
        <v>403159.74873787042</v>
      </c>
    </row>
    <row r="42" spans="1:86" s="52" customFormat="1" x14ac:dyDescent="0.25">
      <c r="A42" s="1"/>
      <c r="B42" s="73" t="s">
        <v>18</v>
      </c>
      <c r="C42" s="77">
        <v>-0.32869722184128364</v>
      </c>
      <c r="D42" s="77">
        <v>0.2485000845121183</v>
      </c>
      <c r="E42" s="77">
        <v>0.24022766803131235</v>
      </c>
      <c r="F42" s="77">
        <v>0.27037518174408498</v>
      </c>
      <c r="G42" s="77">
        <v>0.23815225247304508</v>
      </c>
      <c r="H42" s="77">
        <v>0.35770062170461847</v>
      </c>
      <c r="I42" s="78">
        <v>0.21299999999999999</v>
      </c>
      <c r="J42" s="99">
        <v>0.25</v>
      </c>
      <c r="K42" s="99">
        <v>0.245</v>
      </c>
      <c r="L42" s="99">
        <v>0.245</v>
      </c>
      <c r="M42" s="99">
        <v>0.245</v>
      </c>
      <c r="N42" s="99">
        <v>0.245</v>
      </c>
      <c r="O42" s="99">
        <v>0.245</v>
      </c>
      <c r="P42" s="99">
        <v>0.245</v>
      </c>
      <c r="Q42" s="99">
        <v>0.245</v>
      </c>
      <c r="R42" s="99">
        <v>0.245</v>
      </c>
    </row>
    <row r="43" spans="1:86" s="52" customFormat="1" x14ac:dyDescent="0.25">
      <c r="A43" s="1"/>
      <c r="B43" s="1"/>
      <c r="C43" s="1"/>
      <c r="D43" s="1"/>
      <c r="E43" s="1"/>
      <c r="F43" s="1"/>
      <c r="G43" s="1"/>
      <c r="H43" s="1"/>
      <c r="I43" s="12"/>
      <c r="J43" s="98"/>
      <c r="K43" s="98"/>
      <c r="L43" s="98"/>
      <c r="M43" s="98"/>
      <c r="N43" s="98"/>
      <c r="O43" s="98"/>
      <c r="P43" s="98"/>
      <c r="Q43" s="98"/>
      <c r="R43" s="98"/>
    </row>
    <row r="44" spans="1:86" s="52" customFormat="1" x14ac:dyDescent="0.25">
      <c r="A44" s="1"/>
      <c r="B44" s="9" t="s">
        <v>19</v>
      </c>
      <c r="C44" s="9">
        <v>2017</v>
      </c>
      <c r="D44" s="9">
        <v>2018</v>
      </c>
      <c r="E44" s="10">
        <v>2019</v>
      </c>
      <c r="F44" s="9">
        <v>2020</v>
      </c>
      <c r="G44" s="9">
        <v>2021</v>
      </c>
      <c r="H44" s="9">
        <v>2022</v>
      </c>
      <c r="I44" s="65">
        <v>2023</v>
      </c>
      <c r="J44" s="101">
        <v>2024</v>
      </c>
      <c r="K44" s="101">
        <v>2025</v>
      </c>
      <c r="L44" s="101">
        <v>2026</v>
      </c>
      <c r="M44" s="101">
        <v>2027</v>
      </c>
      <c r="N44" s="101">
        <v>2028</v>
      </c>
      <c r="O44" s="101">
        <v>2029</v>
      </c>
      <c r="P44" s="101">
        <v>2030</v>
      </c>
      <c r="Q44" s="101">
        <v>2031</v>
      </c>
      <c r="R44" s="101">
        <v>2032</v>
      </c>
      <c r="S44" s="9">
        <v>2033</v>
      </c>
      <c r="T44" s="9">
        <v>2034</v>
      </c>
      <c r="U44" s="9">
        <v>2035</v>
      </c>
      <c r="V44" s="9">
        <v>2036</v>
      </c>
      <c r="W44" s="9">
        <v>2037</v>
      </c>
      <c r="X44" s="9">
        <v>2038</v>
      </c>
      <c r="Y44" s="9">
        <v>2039</v>
      </c>
      <c r="Z44" s="9">
        <v>2040</v>
      </c>
      <c r="AA44" s="9">
        <v>2041</v>
      </c>
      <c r="AB44" s="9">
        <v>2042</v>
      </c>
      <c r="AC44" s="9">
        <v>2043</v>
      </c>
      <c r="AD44" s="9">
        <v>2044</v>
      </c>
      <c r="AE44" s="9">
        <v>2045</v>
      </c>
      <c r="AF44" s="9">
        <v>2046</v>
      </c>
      <c r="AG44" s="9">
        <v>2047</v>
      </c>
      <c r="AH44" s="9">
        <v>2048</v>
      </c>
      <c r="AI44" s="9">
        <v>2049</v>
      </c>
      <c r="AJ44" s="9">
        <v>2050</v>
      </c>
      <c r="AK44" s="9">
        <v>2051</v>
      </c>
      <c r="AL44" s="9">
        <v>2052</v>
      </c>
      <c r="AM44" s="9">
        <v>2053</v>
      </c>
      <c r="AN44" s="9">
        <v>2054</v>
      </c>
      <c r="AO44" s="9">
        <v>2055</v>
      </c>
      <c r="AP44" s="9">
        <v>2056</v>
      </c>
      <c r="AQ44" s="9">
        <v>2057</v>
      </c>
      <c r="AR44" s="9">
        <v>2058</v>
      </c>
      <c r="AS44" s="9">
        <v>2059</v>
      </c>
      <c r="AT44" s="9">
        <v>2060</v>
      </c>
      <c r="AU44" s="9">
        <v>2061</v>
      </c>
      <c r="AV44" s="9">
        <v>2062</v>
      </c>
      <c r="AW44" s="9">
        <v>2063</v>
      </c>
      <c r="AX44" s="9">
        <v>2064</v>
      </c>
      <c r="AY44" s="9">
        <v>2065</v>
      </c>
      <c r="AZ44" s="9">
        <v>2066</v>
      </c>
      <c r="BA44" s="9">
        <v>2067</v>
      </c>
      <c r="BB44" s="9">
        <v>2068</v>
      </c>
      <c r="BC44" s="9">
        <v>2069</v>
      </c>
      <c r="BD44" s="9">
        <v>2070</v>
      </c>
      <c r="BE44" s="9">
        <v>2071</v>
      </c>
      <c r="BF44" s="9">
        <v>2072</v>
      </c>
      <c r="BG44" s="9">
        <v>2073</v>
      </c>
      <c r="BH44" s="9">
        <v>2074</v>
      </c>
      <c r="BI44" s="9">
        <v>2075</v>
      </c>
      <c r="BJ44" s="9">
        <v>2076</v>
      </c>
      <c r="BK44" s="9">
        <v>2077</v>
      </c>
      <c r="BL44" s="9">
        <v>2078</v>
      </c>
      <c r="BM44" s="9">
        <v>2079</v>
      </c>
      <c r="BN44" s="9">
        <v>2080</v>
      </c>
      <c r="BO44" s="9">
        <v>2081</v>
      </c>
      <c r="BP44" s="9">
        <v>2082</v>
      </c>
      <c r="BQ44" s="9">
        <v>2083</v>
      </c>
      <c r="BR44" s="9">
        <v>2084</v>
      </c>
      <c r="BS44" s="9">
        <v>2085</v>
      </c>
      <c r="BT44" s="9">
        <v>2086</v>
      </c>
      <c r="BU44" s="9">
        <v>2087</v>
      </c>
      <c r="BV44" s="9">
        <v>2088</v>
      </c>
      <c r="BW44" s="9">
        <v>2089</v>
      </c>
      <c r="BX44" s="9">
        <v>2090</v>
      </c>
      <c r="BY44" s="9">
        <v>2091</v>
      </c>
      <c r="BZ44" s="9">
        <v>2092</v>
      </c>
      <c r="CA44" s="9">
        <v>2093</v>
      </c>
      <c r="CB44" s="9">
        <v>2094</v>
      </c>
      <c r="CC44" s="9">
        <v>2095</v>
      </c>
      <c r="CD44" s="9">
        <v>2096</v>
      </c>
      <c r="CE44" s="9">
        <v>2097</v>
      </c>
      <c r="CF44" s="9">
        <v>2098</v>
      </c>
      <c r="CG44" s="9">
        <v>2099</v>
      </c>
      <c r="CH44" s="9">
        <v>2100</v>
      </c>
    </row>
    <row r="45" spans="1:86" s="52" customFormat="1" x14ac:dyDescent="0.25">
      <c r="A45" s="1"/>
      <c r="B45" s="1" t="s">
        <v>20</v>
      </c>
      <c r="C45" s="11">
        <f>'Raw CF'!K6</f>
        <v>817564</v>
      </c>
      <c r="D45" s="11">
        <f>'Raw CF'!L6</f>
        <v>712024</v>
      </c>
      <c r="E45" s="11">
        <f>'Raw CF'!M6</f>
        <v>630577</v>
      </c>
      <c r="F45" s="11">
        <f>'Raw CF'!D6</f>
        <v>714552</v>
      </c>
      <c r="G45" s="11">
        <f>'Raw CF'!E6</f>
        <v>724852</v>
      </c>
      <c r="H45" s="11">
        <f>'Raw CF'!F6</f>
        <v>717073</v>
      </c>
      <c r="I45" s="20">
        <f>I22</f>
        <v>1010000</v>
      </c>
      <c r="J45" s="97">
        <f t="shared" ref="J45:R45" si="28">J22</f>
        <v>1110000</v>
      </c>
      <c r="K45" s="97">
        <f t="shared" si="28"/>
        <v>1410000</v>
      </c>
      <c r="L45" s="97">
        <f t="shared" si="28"/>
        <v>1190000</v>
      </c>
      <c r="M45" s="97">
        <f t="shared" si="28"/>
        <v>1280000</v>
      </c>
      <c r="N45" s="97">
        <f t="shared" si="28"/>
        <v>1390000</v>
      </c>
      <c r="O45" s="97">
        <f t="shared" si="28"/>
        <v>1241850</v>
      </c>
      <c r="P45" s="97">
        <f t="shared" si="28"/>
        <v>1229431.5</v>
      </c>
      <c r="Q45" s="97">
        <f t="shared" si="28"/>
        <v>1217137.1850000001</v>
      </c>
      <c r="R45" s="97">
        <f t="shared" si="28"/>
        <v>1204965.8131500001</v>
      </c>
    </row>
    <row r="46" spans="1:86" s="52" customFormat="1" x14ac:dyDescent="0.25">
      <c r="A46" s="1"/>
      <c r="B46" s="73" t="s">
        <v>16</v>
      </c>
      <c r="C46" s="74">
        <f t="shared" ref="C46:H46" si="29">C45/C11</f>
        <v>5.6809304183929613E-2</v>
      </c>
      <c r="D46" s="74">
        <f t="shared" si="29"/>
        <v>5.2272829719214799E-2</v>
      </c>
      <c r="E46" s="74">
        <f t="shared" si="29"/>
        <v>4.9234272175984355E-2</v>
      </c>
      <c r="F46" s="74">
        <f t="shared" si="29"/>
        <v>4.6119662941110216E-2</v>
      </c>
      <c r="G46" s="74">
        <f t="shared" si="29"/>
        <v>4.0537313519644701E-2</v>
      </c>
      <c r="H46" s="74">
        <f t="shared" si="29"/>
        <v>4.2991516425014392E-2</v>
      </c>
      <c r="I46" s="75">
        <f t="shared" ref="I46" si="30">I45/I11</f>
        <v>6.5203357004519041E-2</v>
      </c>
      <c r="J46" s="76">
        <f t="shared" ref="J46" si="31">J45/J11</f>
        <v>7.3558648111332003E-2</v>
      </c>
      <c r="K46" s="76">
        <f t="shared" ref="K46" si="32">K45/K11</f>
        <v>9.2763157894736839E-2</v>
      </c>
      <c r="L46" s="76">
        <f t="shared" ref="L46" si="33">L45/L11</f>
        <v>8.2239115411195579E-2</v>
      </c>
      <c r="M46" s="76">
        <f t="shared" ref="M46" si="34">M45/M11</f>
        <v>8.7491455912508551E-2</v>
      </c>
      <c r="N46" s="76">
        <f t="shared" ref="N46" si="35">N45/N11</f>
        <v>9.5140314852840524E-2</v>
      </c>
      <c r="O46" s="76">
        <f t="shared" ref="O46" si="36">O45/O11</f>
        <v>8.5000000000000006E-2</v>
      </c>
      <c r="P46" s="76">
        <f t="shared" ref="P46" si="37">P45/P11</f>
        <v>8.5000000000000006E-2</v>
      </c>
      <c r="Q46" s="76">
        <f t="shared" ref="Q46" si="38">Q45/Q11</f>
        <v>8.5000000000000006E-2</v>
      </c>
      <c r="R46" s="76">
        <f t="shared" ref="R46" si="39">R45/R11</f>
        <v>8.5000000000000006E-2</v>
      </c>
    </row>
    <row r="47" spans="1:86" s="52" customFormat="1" x14ac:dyDescent="0.25">
      <c r="A47" s="1"/>
      <c r="B47" s="1"/>
      <c r="C47" s="1"/>
      <c r="D47" s="1"/>
      <c r="E47" s="2"/>
      <c r="F47" s="1"/>
      <c r="G47" s="1"/>
      <c r="H47" s="1"/>
      <c r="I47" s="12"/>
      <c r="J47" s="98"/>
      <c r="K47" s="98"/>
      <c r="L47" s="98"/>
      <c r="M47" s="98"/>
      <c r="N47" s="98"/>
      <c r="O47" s="98"/>
      <c r="P47" s="98"/>
      <c r="Q47" s="98"/>
      <c r="R47" s="98"/>
    </row>
    <row r="48" spans="1:86" s="52" customFormat="1" x14ac:dyDescent="0.25">
      <c r="A48" s="1"/>
      <c r="B48" s="1" t="s">
        <v>21</v>
      </c>
      <c r="C48" s="11">
        <f>'Raw CF'!K27</f>
        <v>-431795</v>
      </c>
      <c r="D48" s="11">
        <f>'Raw CF'!L27</f>
        <v>-393938</v>
      </c>
      <c r="E48" s="11">
        <f>'Raw CF'!M27</f>
        <v>-581081</v>
      </c>
      <c r="F48" s="37">
        <f>'Raw CF'!D27</f>
        <v>-413302</v>
      </c>
      <c r="G48" s="37">
        <f>'Raw CF'!E27</f>
        <v>-1185642</v>
      </c>
      <c r="H48" s="37">
        <f>'Raw CF'!F27</f>
        <v>-2727302</v>
      </c>
      <c r="I48" s="20">
        <f>I49*I11</f>
        <v>-2400000</v>
      </c>
      <c r="J48" s="97">
        <f t="shared" ref="J48:R48" si="40">J49*J11</f>
        <v>-1650000</v>
      </c>
      <c r="K48" s="97">
        <f t="shared" si="40"/>
        <v>-1490000</v>
      </c>
      <c r="L48" s="97">
        <f t="shared" si="40"/>
        <v>-1060000</v>
      </c>
      <c r="M48" s="97">
        <f t="shared" si="40"/>
        <v>-911240</v>
      </c>
      <c r="N48" s="97">
        <f t="shared" si="40"/>
        <v>-802320</v>
      </c>
      <c r="O48" s="97">
        <f t="shared" si="40"/>
        <v>-759720</v>
      </c>
      <c r="P48" s="97">
        <f t="shared" si="40"/>
        <v>-752122.79999999993</v>
      </c>
      <c r="Q48" s="97">
        <f t="shared" si="40"/>
        <v>-744601.57199999993</v>
      </c>
      <c r="R48" s="97">
        <f t="shared" si="40"/>
        <v>-737155.55628000002</v>
      </c>
    </row>
    <row r="49" spans="1:86" s="52" customFormat="1" x14ac:dyDescent="0.25">
      <c r="A49" s="1"/>
      <c r="B49" s="73" t="s">
        <v>16</v>
      </c>
      <c r="C49" s="74">
        <f t="shared" ref="C49:H49" si="41">C48/C11</f>
        <v>-3.0003734875923949E-2</v>
      </c>
      <c r="D49" s="74">
        <f t="shared" si="41"/>
        <v>-2.8920730191577867E-2</v>
      </c>
      <c r="E49" s="74">
        <f t="shared" si="41"/>
        <v>-4.5369717116693388E-2</v>
      </c>
      <c r="F49" s="74">
        <f t="shared" si="41"/>
        <v>-2.6675943714224767E-2</v>
      </c>
      <c r="G49" s="74">
        <f t="shared" si="41"/>
        <v>-6.6306972286837296E-2</v>
      </c>
      <c r="H49" s="74">
        <f t="shared" si="41"/>
        <v>-0.16351312729523299</v>
      </c>
      <c r="I49" s="75">
        <v>-0.15493867010974821</v>
      </c>
      <c r="J49" s="76">
        <v>-0.10934393638170974</v>
      </c>
      <c r="K49" s="76">
        <v>-9.8026315789473684E-2</v>
      </c>
      <c r="L49" s="76">
        <v>-7.3255010366275047E-2</v>
      </c>
      <c r="M49" s="76">
        <v>-6.2285714285714285E-2</v>
      </c>
      <c r="N49" s="76">
        <v>-5.4915811088295685E-2</v>
      </c>
      <c r="O49" s="76">
        <v>-5.1999999999999998E-2</v>
      </c>
      <c r="P49" s="76">
        <v>-5.1999999999999998E-2</v>
      </c>
      <c r="Q49" s="76">
        <v>-5.1999999999999998E-2</v>
      </c>
      <c r="R49" s="76">
        <v>-5.1999999999999998E-2</v>
      </c>
    </row>
    <row r="50" spans="1:86" s="52" customFormat="1" x14ac:dyDescent="0.25">
      <c r="A50" s="1"/>
      <c r="B50" s="1"/>
      <c r="C50" s="1"/>
      <c r="D50" s="1"/>
      <c r="E50" s="2"/>
      <c r="F50" s="1"/>
      <c r="G50" s="1"/>
      <c r="H50" s="1"/>
      <c r="I50" s="12"/>
      <c r="J50" s="98"/>
      <c r="K50" s="98"/>
      <c r="L50" s="98"/>
      <c r="M50" s="98"/>
      <c r="N50" s="98"/>
      <c r="O50" s="98"/>
      <c r="P50" s="98"/>
      <c r="Q50" s="98"/>
      <c r="R50" s="98"/>
    </row>
    <row r="51" spans="1:86" s="52" customFormat="1" x14ac:dyDescent="0.25">
      <c r="A51" s="1"/>
      <c r="B51" s="1" t="s">
        <v>22</v>
      </c>
      <c r="C51" s="11">
        <f>SUM('Raw CF'!K14:K21)</f>
        <v>206529</v>
      </c>
      <c r="D51" s="11">
        <f>SUM('Raw CF'!L14:L21)</f>
        <v>-254523</v>
      </c>
      <c r="E51" s="11">
        <f>SUM('Raw CF'!M14:M21)</f>
        <v>-20164</v>
      </c>
      <c r="F51" s="67">
        <f>SUM('Raw CF'!D15:D21)</f>
        <v>-407776</v>
      </c>
      <c r="G51" s="67">
        <f>SUM('Raw CF'!E15:E21)</f>
        <v>113963</v>
      </c>
      <c r="H51" s="67">
        <f>SUM('Raw CF'!F15:F21)</f>
        <v>-59128</v>
      </c>
      <c r="I51" s="20">
        <f t="shared" ref="I51:R51" si="42">I52*I11</f>
        <v>46470</v>
      </c>
      <c r="J51" s="97">
        <f t="shared" si="42"/>
        <v>45270</v>
      </c>
      <c r="K51" s="97">
        <f t="shared" si="42"/>
        <v>45600</v>
      </c>
      <c r="L51" s="97">
        <f t="shared" si="42"/>
        <v>43410</v>
      </c>
      <c r="M51" s="97">
        <f t="shared" si="42"/>
        <v>43890</v>
      </c>
      <c r="N51" s="97">
        <f t="shared" si="42"/>
        <v>43830</v>
      </c>
      <c r="O51" s="97">
        <f t="shared" si="42"/>
        <v>43830</v>
      </c>
      <c r="P51" s="97">
        <f t="shared" si="42"/>
        <v>43391.700000000004</v>
      </c>
      <c r="Q51" s="97">
        <f t="shared" si="42"/>
        <v>42957.783000000003</v>
      </c>
      <c r="R51" s="97">
        <f t="shared" si="42"/>
        <v>42528.205170000001</v>
      </c>
    </row>
    <row r="52" spans="1:86" s="52" customFormat="1" x14ac:dyDescent="0.25">
      <c r="A52" s="1"/>
      <c r="B52" s="73" t="s">
        <v>16</v>
      </c>
      <c r="C52" s="74">
        <f t="shared" ref="C52:H52" si="43">C51/C11</f>
        <v>1.4350887250175887E-2</v>
      </c>
      <c r="D52" s="74">
        <f t="shared" si="43"/>
        <v>-1.8685658683729352E-2</v>
      </c>
      <c r="E52" s="74">
        <f t="shared" si="43"/>
        <v>-1.5743673875776448E-3</v>
      </c>
      <c r="F52" s="74">
        <f t="shared" si="43"/>
        <v>-2.6319276519377401E-2</v>
      </c>
      <c r="G52" s="74">
        <f t="shared" si="43"/>
        <v>6.3733753381921675E-3</v>
      </c>
      <c r="H52" s="74">
        <f t="shared" si="43"/>
        <v>-3.5449701539149443E-3</v>
      </c>
      <c r="I52" s="78">
        <v>3.0000000000000001E-3</v>
      </c>
      <c r="J52" s="99">
        <v>3.0000000000000001E-3</v>
      </c>
      <c r="K52" s="99">
        <v>3.0000000000000001E-3</v>
      </c>
      <c r="L52" s="99">
        <v>3.0000000000000001E-3</v>
      </c>
      <c r="M52" s="99">
        <v>3.0000000000000001E-3</v>
      </c>
      <c r="N52" s="99">
        <v>3.0000000000000001E-3</v>
      </c>
      <c r="O52" s="99">
        <v>3.0000000000000001E-3</v>
      </c>
      <c r="P52" s="99">
        <v>3.0000000000000001E-3</v>
      </c>
      <c r="Q52" s="99">
        <v>3.0000000000000001E-3</v>
      </c>
      <c r="R52" s="99">
        <v>3.0000000000000001E-3</v>
      </c>
    </row>
    <row r="53" spans="1:86" s="52" customFormat="1" x14ac:dyDescent="0.25">
      <c r="A53" s="1"/>
      <c r="B53" s="1"/>
      <c r="C53" s="1"/>
      <c r="D53" s="1"/>
      <c r="E53" s="1"/>
      <c r="F53" s="1"/>
      <c r="G53" s="1"/>
      <c r="H53" s="1"/>
      <c r="I53" s="12"/>
      <c r="J53" s="98"/>
      <c r="K53" s="98"/>
      <c r="L53" s="98"/>
      <c r="M53" s="98"/>
      <c r="N53" s="98"/>
      <c r="O53" s="98"/>
      <c r="P53" s="98"/>
      <c r="Q53" s="98"/>
      <c r="R53" s="98"/>
    </row>
    <row r="54" spans="1:86" s="52" customFormat="1" x14ac:dyDescent="0.25">
      <c r="A54" s="1"/>
      <c r="B54" s="9" t="s">
        <v>23</v>
      </c>
      <c r="C54" s="11">
        <f>C38-C41</f>
        <v>2083085</v>
      </c>
      <c r="D54" s="11">
        <f t="shared" ref="D54:H54" si="44">D38-D41</f>
        <v>1613937</v>
      </c>
      <c r="E54" s="11">
        <f t="shared" si="44"/>
        <v>1427518</v>
      </c>
      <c r="F54" s="11">
        <f t="shared" si="44"/>
        <v>1884340</v>
      </c>
      <c r="G54" s="11">
        <f t="shared" si="44"/>
        <v>2440225</v>
      </c>
      <c r="H54" s="11">
        <f t="shared" si="44"/>
        <v>1313930</v>
      </c>
      <c r="I54" s="38">
        <f t="shared" ref="I54" si="45">I38-I41</f>
        <v>486584.57725000015</v>
      </c>
      <c r="J54" s="100">
        <f t="shared" ref="J54:R54" si="46">J38-J41</f>
        <v>227911.95000000007</v>
      </c>
      <c r="K54" s="100">
        <f t="shared" si="46"/>
        <v>-161385.44000000032</v>
      </c>
      <c r="L54" s="100">
        <f t="shared" si="46"/>
        <v>502872.66249999998</v>
      </c>
      <c r="M54" s="100">
        <f t="shared" si="46"/>
        <v>1398246.5</v>
      </c>
      <c r="N54" s="100">
        <f t="shared" si="46"/>
        <v>1334025.0005468214</v>
      </c>
      <c r="O54" s="100">
        <f t="shared" si="46"/>
        <v>1214236.7005468213</v>
      </c>
      <c r="P54" s="100">
        <f t="shared" si="46"/>
        <v>1475100.4460413533</v>
      </c>
      <c r="Q54" s="100">
        <f t="shared" si="46"/>
        <v>1481971.5256909397</v>
      </c>
      <c r="R54" s="100">
        <f t="shared" si="46"/>
        <v>1242390.2461105802</v>
      </c>
    </row>
    <row r="55" spans="1:86" s="52" customFormat="1" x14ac:dyDescent="0.25">
      <c r="A55" s="1"/>
      <c r="B55" s="9" t="s">
        <v>50</v>
      </c>
      <c r="C55" s="11">
        <f>'Raw IS'!K34</f>
        <v>66718</v>
      </c>
      <c r="D55" s="11">
        <f>'Raw IS'!L34</f>
        <v>80400</v>
      </c>
      <c r="E55" s="11">
        <f>'Raw IS'!M34</f>
        <v>93057</v>
      </c>
      <c r="F55" s="11">
        <f>'Raw IS'!D27</f>
        <v>111263</v>
      </c>
      <c r="G55" s="11">
        <f>'Raw IS'!E27</f>
        <v>45304</v>
      </c>
      <c r="H55" s="11">
        <f>'Raw IS'!F27</f>
        <v>69674</v>
      </c>
      <c r="I55" s="38">
        <v>34314.577250000002</v>
      </c>
      <c r="J55" s="100">
        <v>39181.950000000004</v>
      </c>
      <c r="K55" s="100">
        <v>37834.559999999998</v>
      </c>
      <c r="L55" s="100">
        <v>34282.662499999999</v>
      </c>
      <c r="M55" s="100">
        <v>62136.5</v>
      </c>
      <c r="N55" s="100">
        <v>58936.055000000008</v>
      </c>
      <c r="O55" s="100">
        <v>52946.640000000007</v>
      </c>
      <c r="P55" s="100">
        <v>66067.479225000003</v>
      </c>
      <c r="Q55" s="100">
        <v>66487.908638249995</v>
      </c>
      <c r="R55" s="100">
        <v>54584.951335695005</v>
      </c>
    </row>
    <row r="56" spans="1:86" s="52" customFormat="1" x14ac:dyDescent="0.25">
      <c r="A56" s="1"/>
      <c r="B56" s="92" t="s">
        <v>147</v>
      </c>
      <c r="C56" s="14">
        <f>C55/C54</f>
        <v>3.2028457792168827E-2</v>
      </c>
      <c r="D56" s="14">
        <f t="shared" ref="D56:H56" si="47">D55/D54</f>
        <v>4.9816070887525349E-2</v>
      </c>
      <c r="E56" s="14">
        <f t="shared" si="47"/>
        <v>6.5187969608789517E-2</v>
      </c>
      <c r="F56" s="14">
        <f t="shared" si="47"/>
        <v>5.9046138170393878E-2</v>
      </c>
      <c r="G56" s="14">
        <f t="shared" si="47"/>
        <v>1.856550113206774E-2</v>
      </c>
      <c r="H56" s="14">
        <f t="shared" si="47"/>
        <v>5.3027178007960848E-2</v>
      </c>
      <c r="I56" s="19">
        <v>0.05</v>
      </c>
      <c r="J56" s="68">
        <v>0.05</v>
      </c>
      <c r="K56" s="68">
        <v>0.05</v>
      </c>
      <c r="L56" s="68">
        <v>0.05</v>
      </c>
      <c r="M56" s="68">
        <v>0.05</v>
      </c>
      <c r="N56" s="68">
        <v>0.05</v>
      </c>
      <c r="O56" s="68">
        <v>0.05</v>
      </c>
      <c r="P56" s="68">
        <v>0.05</v>
      </c>
      <c r="Q56" s="68">
        <v>0.05</v>
      </c>
      <c r="R56" s="68">
        <v>0.05</v>
      </c>
    </row>
    <row r="57" spans="1:86" s="52" customFormat="1" x14ac:dyDescent="0.25">
      <c r="A57" s="1"/>
      <c r="B57" s="9"/>
      <c r="C57" s="11"/>
      <c r="D57" s="11"/>
      <c r="E57" s="11"/>
      <c r="F57" s="11"/>
      <c r="G57" s="11"/>
      <c r="H57" s="11"/>
      <c r="I57" s="38"/>
      <c r="J57" s="100"/>
      <c r="K57" s="100"/>
      <c r="L57" s="100"/>
      <c r="M57" s="100"/>
      <c r="N57" s="100"/>
      <c r="O57" s="100"/>
      <c r="P57" s="100"/>
      <c r="Q57" s="100"/>
      <c r="R57" s="100"/>
    </row>
    <row r="58" spans="1:86" s="52" customFormat="1" x14ac:dyDescent="0.25">
      <c r="A58" s="1"/>
      <c r="B58" s="9" t="s">
        <v>24</v>
      </c>
      <c r="C58" s="11">
        <f>C36-C41-C55</f>
        <v>2098689</v>
      </c>
      <c r="D58" s="11">
        <f t="shared" ref="D58:H58" si="48">D36-D41-D55</f>
        <v>1575091</v>
      </c>
      <c r="E58" s="11">
        <f t="shared" si="48"/>
        <v>1399512</v>
      </c>
      <c r="F58" s="11">
        <f t="shared" si="48"/>
        <v>1762673</v>
      </c>
      <c r="G58" s="11">
        <f t="shared" si="48"/>
        <v>2410642</v>
      </c>
      <c r="H58" s="11">
        <f t="shared" si="48"/>
        <v>2303233</v>
      </c>
      <c r="I58" s="38">
        <f t="shared" ref="I58" si="49">I36-I41-I55</f>
        <v>498740.00000000012</v>
      </c>
      <c r="J58" s="100">
        <f t="shared" ref="J58" si="50">J36-J41-J55</f>
        <v>234000.00000000006</v>
      </c>
      <c r="K58" s="100">
        <f t="shared" ref="K58" si="51">K36-K41-K55</f>
        <v>-153620.00000000032</v>
      </c>
      <c r="L58" s="100">
        <f t="shared" ref="L58" si="52">L36-L41-L55</f>
        <v>512000</v>
      </c>
      <c r="M58" s="100">
        <f t="shared" ref="M58" si="53">M36-M41-M55</f>
        <v>1380000</v>
      </c>
      <c r="N58" s="100">
        <f t="shared" ref="N58" si="54">N36-N41-N55</f>
        <v>1318918.9455468215</v>
      </c>
      <c r="O58" s="100">
        <f t="shared" ref="O58" si="55">O36-O41-O55</f>
        <v>1205120.0605468214</v>
      </c>
      <c r="P58" s="100">
        <f t="shared" ref="P58" si="56">P36-P41-P55</f>
        <v>1452424.6668163533</v>
      </c>
      <c r="Q58" s="100">
        <f t="shared" ref="Q58" si="57">Q36-Q41-Q55</f>
        <v>1458441.4000526895</v>
      </c>
      <c r="R58" s="100">
        <f t="shared" ref="R58" si="58">R36-R41-R55</f>
        <v>1230333.499944885</v>
      </c>
      <c r="S58" s="53">
        <f>R58*(1+$E$6)</f>
        <v>1218030.1649454362</v>
      </c>
      <c r="T58" s="53">
        <f t="shared" ref="T58:CE58" si="59">S58*(1+$E$6)</f>
        <v>1205849.8632959819</v>
      </c>
      <c r="U58" s="53">
        <f t="shared" si="59"/>
        <v>1193791.3646630221</v>
      </c>
      <c r="V58" s="53">
        <f t="shared" si="59"/>
        <v>1181853.4510163919</v>
      </c>
      <c r="W58" s="53">
        <f t="shared" si="59"/>
        <v>1170034.916506228</v>
      </c>
      <c r="X58" s="53">
        <f t="shared" si="59"/>
        <v>1158334.5673411658</v>
      </c>
      <c r="Y58" s="53">
        <f t="shared" si="59"/>
        <v>1146751.2216677542</v>
      </c>
      <c r="Z58" s="53">
        <f t="shared" si="59"/>
        <v>1135283.7094510766</v>
      </c>
      <c r="AA58" s="53">
        <f t="shared" si="59"/>
        <v>1123930.8723565659</v>
      </c>
      <c r="AB58" s="53">
        <f t="shared" si="59"/>
        <v>1112691.5636330002</v>
      </c>
      <c r="AC58" s="53">
        <f t="shared" si="59"/>
        <v>1101564.6479966703</v>
      </c>
      <c r="AD58" s="53">
        <f t="shared" si="59"/>
        <v>1090549.0015167035</v>
      </c>
      <c r="AE58" s="53">
        <f t="shared" si="59"/>
        <v>1079643.5115015365</v>
      </c>
      <c r="AF58" s="53">
        <f t="shared" si="59"/>
        <v>1068847.0763865211</v>
      </c>
      <c r="AG58" s="53">
        <f t="shared" si="59"/>
        <v>1058158.6056226559</v>
      </c>
      <c r="AH58" s="53">
        <f t="shared" si="59"/>
        <v>1047577.0195664294</v>
      </c>
      <c r="AI58" s="53">
        <f t="shared" si="59"/>
        <v>1037101.2493707652</v>
      </c>
      <c r="AJ58" s="53">
        <f t="shared" si="59"/>
        <v>1026730.2368770575</v>
      </c>
      <c r="AK58" s="53">
        <f t="shared" si="59"/>
        <v>1016462.9345082869</v>
      </c>
      <c r="AL58" s="53">
        <f t="shared" si="59"/>
        <v>1006298.305163204</v>
      </c>
      <c r="AM58" s="53">
        <f t="shared" si="59"/>
        <v>996235.32211157191</v>
      </c>
      <c r="AN58" s="53">
        <f t="shared" si="59"/>
        <v>986272.96889045613</v>
      </c>
      <c r="AO58" s="53">
        <f t="shared" si="59"/>
        <v>976410.23920155154</v>
      </c>
      <c r="AP58" s="53">
        <f t="shared" si="59"/>
        <v>966646.13680953602</v>
      </c>
      <c r="AQ58" s="53">
        <f t="shared" si="59"/>
        <v>956979.67544144066</v>
      </c>
      <c r="AR58" s="53">
        <f t="shared" si="59"/>
        <v>947409.87868702621</v>
      </c>
      <c r="AS58" s="53">
        <f t="shared" si="59"/>
        <v>937935.77990015596</v>
      </c>
      <c r="AT58" s="53">
        <f t="shared" si="59"/>
        <v>928556.42210115434</v>
      </c>
      <c r="AU58" s="53">
        <f t="shared" si="59"/>
        <v>919270.85788014275</v>
      </c>
      <c r="AV58" s="53">
        <f t="shared" si="59"/>
        <v>910078.14930134127</v>
      </c>
      <c r="AW58" s="53">
        <f t="shared" si="59"/>
        <v>900977.36780832789</v>
      </c>
      <c r="AX58" s="53">
        <f t="shared" si="59"/>
        <v>891967.59413024457</v>
      </c>
      <c r="AY58" s="53">
        <f t="shared" si="59"/>
        <v>883047.91818894213</v>
      </c>
      <c r="AZ58" s="53">
        <f t="shared" si="59"/>
        <v>874217.43900705269</v>
      </c>
      <c r="BA58" s="53">
        <f t="shared" si="59"/>
        <v>865475.2646169822</v>
      </c>
      <c r="BB58" s="53">
        <f t="shared" si="59"/>
        <v>856820.51197081234</v>
      </c>
      <c r="BC58" s="53">
        <f t="shared" si="59"/>
        <v>848252.30685110425</v>
      </c>
      <c r="BD58" s="53">
        <f t="shared" si="59"/>
        <v>839769.78378259321</v>
      </c>
      <c r="BE58" s="53">
        <f t="shared" si="59"/>
        <v>831372.08594476723</v>
      </c>
      <c r="BF58" s="53">
        <f t="shared" si="59"/>
        <v>823058.3650853195</v>
      </c>
      <c r="BG58" s="53">
        <f t="shared" si="59"/>
        <v>814827.78143446625</v>
      </c>
      <c r="BH58" s="53">
        <f t="shared" si="59"/>
        <v>806679.50362012163</v>
      </c>
      <c r="BI58" s="53">
        <f t="shared" si="59"/>
        <v>798612.70858392038</v>
      </c>
      <c r="BJ58" s="53">
        <f t="shared" si="59"/>
        <v>790626.58149808121</v>
      </c>
      <c r="BK58" s="53">
        <f t="shared" si="59"/>
        <v>782720.31568310037</v>
      </c>
      <c r="BL58" s="53">
        <f t="shared" si="59"/>
        <v>774893.1125262694</v>
      </c>
      <c r="BM58" s="53">
        <f t="shared" si="59"/>
        <v>767144.18140100664</v>
      </c>
      <c r="BN58" s="53">
        <f t="shared" si="59"/>
        <v>759472.73958699661</v>
      </c>
      <c r="BO58" s="53">
        <f t="shared" si="59"/>
        <v>751878.01219112659</v>
      </c>
      <c r="BP58" s="53">
        <f t="shared" si="59"/>
        <v>744359.23206921527</v>
      </c>
      <c r="BQ58" s="53">
        <f t="shared" si="59"/>
        <v>736915.63974852313</v>
      </c>
      <c r="BR58" s="53">
        <f t="shared" si="59"/>
        <v>729546.48335103784</v>
      </c>
      <c r="BS58" s="53">
        <f t="shared" si="59"/>
        <v>722251.0185175275</v>
      </c>
      <c r="BT58" s="53">
        <f t="shared" si="59"/>
        <v>715028.50833235227</v>
      </c>
      <c r="BU58" s="53">
        <f t="shared" si="59"/>
        <v>707878.22324902879</v>
      </c>
      <c r="BV58" s="53">
        <f t="shared" si="59"/>
        <v>700799.44101653853</v>
      </c>
      <c r="BW58" s="53">
        <f t="shared" si="59"/>
        <v>693791.44660637318</v>
      </c>
      <c r="BX58" s="53">
        <f t="shared" si="59"/>
        <v>686853.53214030946</v>
      </c>
      <c r="BY58" s="53">
        <f t="shared" si="59"/>
        <v>679984.99681890639</v>
      </c>
      <c r="BZ58" s="53">
        <f t="shared" si="59"/>
        <v>673185.14685071737</v>
      </c>
      <c r="CA58" s="53">
        <f t="shared" si="59"/>
        <v>666453.29538221017</v>
      </c>
      <c r="CB58" s="53">
        <f t="shared" si="59"/>
        <v>659788.76242838812</v>
      </c>
      <c r="CC58" s="53">
        <f t="shared" si="59"/>
        <v>653190.87480410421</v>
      </c>
      <c r="CD58" s="53">
        <f t="shared" si="59"/>
        <v>646658.96605606319</v>
      </c>
      <c r="CE58" s="53">
        <f t="shared" si="59"/>
        <v>640192.37639550259</v>
      </c>
      <c r="CF58" s="53">
        <f t="shared" ref="CF58:CH58" si="60">CE58*(1+$E$6)</f>
        <v>633790.45263154758</v>
      </c>
      <c r="CG58" s="53">
        <f t="shared" si="60"/>
        <v>627452.54810523207</v>
      </c>
      <c r="CH58" s="53">
        <f t="shared" si="60"/>
        <v>621178.02262417972</v>
      </c>
    </row>
    <row r="59" spans="1:86" s="52" customFormat="1" x14ac:dyDescent="0.25">
      <c r="A59" s="1"/>
      <c r="B59" s="6"/>
      <c r="C59" s="11"/>
      <c r="D59" s="11"/>
      <c r="E59" s="11"/>
      <c r="F59" s="11"/>
      <c r="G59" s="11"/>
      <c r="H59" s="11"/>
      <c r="I59" s="12"/>
      <c r="J59" s="98"/>
      <c r="K59" s="98"/>
      <c r="L59" s="98"/>
      <c r="M59" s="98"/>
      <c r="N59" s="98"/>
      <c r="O59" s="98"/>
      <c r="P59" s="98"/>
      <c r="Q59" s="98"/>
      <c r="R59" s="98"/>
    </row>
    <row r="60" spans="1:86" s="52" customFormat="1" x14ac:dyDescent="0.25">
      <c r="A60" s="1"/>
      <c r="B60" s="9" t="s">
        <v>25</v>
      </c>
      <c r="C60" s="11">
        <f>C54+C45+C48-C51</f>
        <v>2262325</v>
      </c>
      <c r="D60" s="11">
        <f>D54+D45+D48-D51</f>
        <v>2186546</v>
      </c>
      <c r="E60" s="11">
        <f>E54+E45+E48-E51</f>
        <v>1497178</v>
      </c>
      <c r="F60" s="11">
        <f>F54+F45+F48-F51</f>
        <v>2593366</v>
      </c>
      <c r="G60" s="11">
        <f>G54+G45+G48-G51</f>
        <v>1865472</v>
      </c>
      <c r="H60" s="11">
        <f>H54+H45+H48-H51</f>
        <v>-637171</v>
      </c>
      <c r="I60" s="38">
        <f>I54+I45+I48-I51</f>
        <v>-949885.42274999991</v>
      </c>
      <c r="J60" s="100">
        <f>J54+J45+J48-J51</f>
        <v>-357358.04999999981</v>
      </c>
      <c r="K60" s="100">
        <f>K54+K45+K48-K51</f>
        <v>-286985.44000000041</v>
      </c>
      <c r="L60" s="100">
        <f>L54+L45+L48-L51</f>
        <v>589462.66250000009</v>
      </c>
      <c r="M60" s="100">
        <f>M54+M45+M48-M51</f>
        <v>1723116.5</v>
      </c>
      <c r="N60" s="100">
        <f>N54+N45+N48-N51</f>
        <v>1877875.0005468214</v>
      </c>
      <c r="O60" s="100">
        <f>O54+O45+O48-O51</f>
        <v>1652536.7005468216</v>
      </c>
      <c r="P60" s="100">
        <f>P54+P45+P48-P51</f>
        <v>1909017.4460413533</v>
      </c>
      <c r="Q60" s="100">
        <f>Q54+Q45+Q48-Q51</f>
        <v>1911549.3556909398</v>
      </c>
      <c r="R60" s="100">
        <f>R54+R45+R48-R51</f>
        <v>1667672.2978105801</v>
      </c>
    </row>
    <row r="61" spans="1:86" s="52" customFormat="1" x14ac:dyDescent="0.25">
      <c r="A61" s="1"/>
      <c r="B61" s="24" t="s">
        <v>26</v>
      </c>
      <c r="C61" s="1"/>
      <c r="D61" s="1"/>
      <c r="E61" s="1"/>
      <c r="F61" s="1"/>
      <c r="G61" s="1"/>
      <c r="H61" s="1"/>
      <c r="I61" s="70">
        <f>I60/((1+$E$5)^I9)</f>
        <v>-848324.37520317198</v>
      </c>
      <c r="J61" s="71">
        <f>J60/((1+$E$5)^J9)</f>
        <v>-285026.35284754966</v>
      </c>
      <c r="K61" s="71">
        <f>K60/((1+$E$5)^K9)</f>
        <v>-204424.07096937834</v>
      </c>
      <c r="L61" s="71">
        <f>L60/((1+$E$5)^L9)</f>
        <v>374989.57438928867</v>
      </c>
      <c r="M61" s="71">
        <f>M60/((1+$E$5)^M9)</f>
        <v>978967.4593492311</v>
      </c>
      <c r="N61" s="71">
        <f>N60/((1+$E$5)^N9)</f>
        <v>952820.3377042776</v>
      </c>
      <c r="O61" s="71">
        <f>O60/((1+$E$5)^O9)</f>
        <v>748835.06835913938</v>
      </c>
      <c r="P61" s="71">
        <f>P60/((1+$E$5)^P9)</f>
        <v>772566.16040198575</v>
      </c>
      <c r="Q61" s="71">
        <f>Q60/((1+$E$5)^Q9)</f>
        <v>690879.04926716862</v>
      </c>
      <c r="R61" s="71">
        <f>R60/((1+$E$5)^R9)</f>
        <v>538292.02396195603</v>
      </c>
    </row>
    <row r="62" spans="1:86" x14ac:dyDescent="0.25">
      <c r="A62" s="1"/>
      <c r="B62" s="25"/>
      <c r="C62" s="25"/>
      <c r="D62" s="25"/>
      <c r="E62" s="25"/>
      <c r="F62" s="25"/>
      <c r="G62" s="25"/>
      <c r="H62" s="25"/>
      <c r="I62" s="72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27</v>
      </c>
      <c r="C63" s="26">
        <f>(R60*(1+$E$6))/($E$5-$E$6)</f>
        <v>12727418.868819362</v>
      </c>
      <c r="D63" s="1"/>
      <c r="E63" s="1" t="s">
        <v>28</v>
      </c>
      <c r="F63" s="18">
        <f>NPV($E$5,I58:CH58)</f>
        <v>7389814.4106732653</v>
      </c>
      <c r="G63" s="1"/>
      <c r="H63" s="1"/>
      <c r="I63" s="15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29</v>
      </c>
      <c r="C64" s="27">
        <f>C63/((1+$E$5)^$R$9)</f>
        <v>4108162.0601978307</v>
      </c>
      <c r="D64" s="16"/>
      <c r="E64" s="3"/>
      <c r="F64" s="3"/>
      <c r="G64" s="3"/>
      <c r="H64" s="16"/>
      <c r="I64" s="12"/>
      <c r="J64" s="1"/>
      <c r="L64" s="80" t="s">
        <v>59</v>
      </c>
      <c r="M64" s="80"/>
      <c r="N64" s="80"/>
      <c r="O64" s="80"/>
      <c r="P64" s="80"/>
      <c r="Q64" s="80"/>
    </row>
    <row r="65" spans="1:18" x14ac:dyDescent="0.25">
      <c r="A65" s="1"/>
      <c r="B65" s="6" t="s">
        <v>30</v>
      </c>
      <c r="C65" s="6"/>
      <c r="D65" s="1"/>
      <c r="E65" s="6"/>
      <c r="F65" s="6"/>
      <c r="G65" s="28" t="s">
        <v>31</v>
      </c>
      <c r="H65" s="28" t="s">
        <v>28</v>
      </c>
      <c r="I65" s="15"/>
      <c r="J65" s="1"/>
      <c r="K65" s="54"/>
      <c r="L65" s="59">
        <f>E71</f>
        <v>7.3470430787654237</v>
      </c>
      <c r="M65" s="79">
        <v>-0.02</v>
      </c>
      <c r="N65" s="79">
        <v>-0.01</v>
      </c>
      <c r="O65" s="79">
        <v>0</v>
      </c>
      <c r="P65" s="79">
        <v>0.01</v>
      </c>
      <c r="Q65" s="79">
        <v>0.02</v>
      </c>
    </row>
    <row r="66" spans="1:18" x14ac:dyDescent="0.25">
      <c r="A66" s="1"/>
      <c r="B66" s="29" t="s">
        <v>32</v>
      </c>
      <c r="C66" s="1"/>
      <c r="D66" s="23">
        <v>1035232</v>
      </c>
      <c r="E66" s="1"/>
      <c r="F66" s="1"/>
      <c r="G66" s="26">
        <f>C64+SUM(I61:R61)</f>
        <v>7827736.9346107785</v>
      </c>
      <c r="H66" s="18">
        <f>F63</f>
        <v>7389814.4106732653</v>
      </c>
      <c r="I66" s="15"/>
      <c r="K66" s="54"/>
      <c r="L66" s="56">
        <f>L67-1%</f>
        <v>9.9719591367988539E-2</v>
      </c>
      <c r="M66" s="60">
        <f t="dataTable" ref="M66:Q70" dt2D="1" dtr="1" r1="E6" r2="E5"/>
        <v>10.334173262259423</v>
      </c>
      <c r="N66" s="60">
        <v>11.210774353621186</v>
      </c>
      <c r="O66" s="60">
        <v>12.261458993607917</v>
      </c>
      <c r="P66" s="60">
        <v>13.542592019262983</v>
      </c>
      <c r="Q66" s="60">
        <v>15.136883680857498</v>
      </c>
    </row>
    <row r="67" spans="1:18" x14ac:dyDescent="0.25">
      <c r="A67" s="1"/>
      <c r="B67" s="30" t="s">
        <v>33</v>
      </c>
      <c r="C67" s="3"/>
      <c r="D67" s="39">
        <f>5687785-966064</f>
        <v>4721721</v>
      </c>
      <c r="E67" s="3"/>
      <c r="F67" s="3"/>
      <c r="G67" s="3"/>
      <c r="H67" s="3"/>
      <c r="I67" s="15"/>
      <c r="K67" s="55"/>
      <c r="L67" s="56">
        <f>L68-1%</f>
        <v>0.10971959136798853</v>
      </c>
      <c r="M67" s="60">
        <v>8.42290611704939</v>
      </c>
      <c r="N67" s="61">
        <v>9.1069128415674641</v>
      </c>
      <c r="O67" s="61">
        <v>9.914826341220893</v>
      </c>
      <c r="P67" s="61">
        <v>10.883104117301775</v>
      </c>
      <c r="Q67" s="60">
        <v>12.063608519570931</v>
      </c>
      <c r="R67" s="48"/>
    </row>
    <row r="68" spans="1:18" x14ac:dyDescent="0.25">
      <c r="A68" s="1"/>
      <c r="B68" s="6" t="s">
        <v>34</v>
      </c>
      <c r="C68" s="6"/>
      <c r="D68" s="6"/>
      <c r="E68" s="6"/>
      <c r="F68" s="6"/>
      <c r="G68" s="31">
        <f>G66+D66-D67</f>
        <v>4141247.9346107785</v>
      </c>
      <c r="H68" s="32">
        <f>H66+D66-D67</f>
        <v>3703325.4106732644</v>
      </c>
      <c r="I68" s="15"/>
      <c r="K68" s="54" t="s">
        <v>1</v>
      </c>
      <c r="L68" s="56">
        <v>0.11971959136798853</v>
      </c>
      <c r="M68" s="60">
        <v>6.8061489671663047</v>
      </c>
      <c r="N68" s="61">
        <v>7.3470430787654237</v>
      </c>
      <c r="O68" s="62">
        <v>7.9779441358926384</v>
      </c>
      <c r="P68" s="61">
        <v>8.7230924616168828</v>
      </c>
      <c r="Q68" s="60">
        <v>9.6160722927820856</v>
      </c>
    </row>
    <row r="69" spans="1:18" x14ac:dyDescent="0.25">
      <c r="A69" s="1"/>
      <c r="B69" s="3" t="s">
        <v>35</v>
      </c>
      <c r="C69" s="3"/>
      <c r="D69" s="37">
        <f>(295424010+238435208)/1000</f>
        <v>533859.21799999999</v>
      </c>
      <c r="E69" s="3"/>
      <c r="F69" s="3"/>
      <c r="G69" s="3"/>
      <c r="H69" s="33"/>
      <c r="I69" s="15"/>
      <c r="K69" s="54"/>
      <c r="L69" s="57">
        <f>L68+1%</f>
        <v>0.12971959136798852</v>
      </c>
      <c r="M69" s="60">
        <v>5.4241635920761215</v>
      </c>
      <c r="N69" s="61">
        <v>5.8568832860780535</v>
      </c>
      <c r="O69" s="61">
        <v>6.3561562102319336</v>
      </c>
      <c r="P69" s="61">
        <v>6.9384902664091257</v>
      </c>
      <c r="Q69" s="60">
        <v>7.6262391868852024</v>
      </c>
    </row>
    <row r="70" spans="1:18" x14ac:dyDescent="0.25">
      <c r="A70" s="1"/>
      <c r="B70" s="17" t="s">
        <v>36</v>
      </c>
      <c r="C70" s="17"/>
      <c r="D70" s="63">
        <f>D69*$J$5</f>
        <v>3341958.70468</v>
      </c>
      <c r="E70" s="17"/>
      <c r="F70" s="17"/>
      <c r="G70" s="17"/>
      <c r="H70" s="34"/>
      <c r="I70" s="1"/>
      <c r="K70" s="54"/>
      <c r="L70" s="57">
        <f>L69+1%</f>
        <v>0.13971959136798853</v>
      </c>
      <c r="M70" s="60">
        <v>4.2321349763996619</v>
      </c>
      <c r="N70" s="60">
        <v>4.5818616153052183</v>
      </c>
      <c r="O70" s="60">
        <v>4.9815733977185896</v>
      </c>
      <c r="P70" s="60">
        <v>5.44275168140756</v>
      </c>
      <c r="Q70" s="60">
        <v>5.9806344592256293</v>
      </c>
    </row>
    <row r="71" spans="1:18" x14ac:dyDescent="0.25">
      <c r="A71" s="1"/>
      <c r="B71" s="6" t="s">
        <v>37</v>
      </c>
      <c r="D71" s="6" t="s">
        <v>38</v>
      </c>
      <c r="E71" s="35">
        <f>(G71+H71)/2</f>
        <v>7.3470430787654237</v>
      </c>
      <c r="F71" s="6"/>
      <c r="G71" s="35">
        <f>G68/D69</f>
        <v>7.757191025239127</v>
      </c>
      <c r="H71" s="36">
        <f>H68/D69</f>
        <v>6.9368951322917205</v>
      </c>
      <c r="I71" s="15"/>
    </row>
    <row r="72" spans="1:18" x14ac:dyDescent="0.25">
      <c r="B72" s="41"/>
      <c r="C72" s="41"/>
      <c r="D72" s="41"/>
      <c r="E72" s="41"/>
      <c r="F72" s="41"/>
      <c r="G72" s="41"/>
      <c r="H72" s="41"/>
      <c r="I72" s="22"/>
    </row>
  </sheetData>
  <sortState xmlns:xlrd2="http://schemas.microsoft.com/office/spreadsheetml/2017/richdata2" columnSort="1" ref="C10:H61">
    <sortCondition ref="C10:H10"/>
  </sortState>
  <mergeCells count="1">
    <mergeCell ref="L64:Q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Q39"/>
  <sheetViews>
    <sheetView workbookViewId="0">
      <selection activeCell="A12" sqref="A12"/>
    </sheetView>
  </sheetViews>
  <sheetFormatPr defaultRowHeight="15" x14ac:dyDescent="0.25"/>
  <cols>
    <col min="1" max="1" width="58.28515625" customWidth="1"/>
    <col min="4" max="7" width="12.28515625" customWidth="1"/>
    <col min="8" max="8" width="42.140625" customWidth="1"/>
    <col min="11" max="13" width="14.140625" customWidth="1"/>
  </cols>
  <sheetData>
    <row r="1" spans="1:17" x14ac:dyDescent="0.25">
      <c r="A1" t="s">
        <v>60</v>
      </c>
      <c r="B1" t="s">
        <v>60</v>
      </c>
      <c r="C1" s="87" t="s">
        <v>61</v>
      </c>
      <c r="D1" s="87"/>
      <c r="E1" s="87"/>
      <c r="F1" s="87"/>
      <c r="G1" s="87"/>
      <c r="H1" t="s">
        <v>60</v>
      </c>
      <c r="I1" t="s">
        <v>60</v>
      </c>
      <c r="J1" s="87" t="s">
        <v>61</v>
      </c>
      <c r="K1" s="87"/>
      <c r="L1" s="87"/>
      <c r="M1" s="87"/>
      <c r="N1" s="87"/>
      <c r="O1" s="87"/>
      <c r="P1" s="87"/>
      <c r="Q1" s="87"/>
    </row>
    <row r="2" spans="1:17" x14ac:dyDescent="0.25">
      <c r="A2" t="s">
        <v>60</v>
      </c>
      <c r="D2" s="87" t="s">
        <v>64</v>
      </c>
      <c r="E2" s="87" t="s">
        <v>63</v>
      </c>
      <c r="F2" s="87" t="s">
        <v>62</v>
      </c>
      <c r="G2" s="87"/>
      <c r="H2" t="s">
        <v>60</v>
      </c>
      <c r="K2" s="87" t="s">
        <v>123</v>
      </c>
      <c r="L2" s="87" t="s">
        <v>122</v>
      </c>
      <c r="M2" s="87" t="s">
        <v>121</v>
      </c>
      <c r="N2" s="87"/>
      <c r="P2" s="87"/>
    </row>
    <row r="3" spans="1:17" x14ac:dyDescent="0.25">
      <c r="A3" s="81" t="s">
        <v>65</v>
      </c>
      <c r="B3" t="s">
        <v>60</v>
      </c>
      <c r="D3" t="s">
        <v>60</v>
      </c>
      <c r="E3" t="s">
        <v>60</v>
      </c>
      <c r="F3" s="81" t="s">
        <v>60</v>
      </c>
      <c r="G3" t="s">
        <v>60</v>
      </c>
      <c r="H3" s="81" t="s">
        <v>65</v>
      </c>
      <c r="I3" t="s">
        <v>60</v>
      </c>
      <c r="K3" t="s">
        <v>60</v>
      </c>
      <c r="L3" t="s">
        <v>60</v>
      </c>
      <c r="M3" s="81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 x14ac:dyDescent="0.25">
      <c r="A4" t="s">
        <v>66</v>
      </c>
      <c r="B4" t="s">
        <v>60</v>
      </c>
      <c r="D4" s="86">
        <v>14846024</v>
      </c>
      <c r="E4" s="86">
        <v>16890729</v>
      </c>
      <c r="F4" s="86">
        <v>16005620</v>
      </c>
      <c r="G4" s="86"/>
      <c r="H4" t="s">
        <v>124</v>
      </c>
      <c r="I4" t="s">
        <v>60</v>
      </c>
      <c r="K4" s="86">
        <v>14260412</v>
      </c>
      <c r="L4" s="86">
        <v>13456088</v>
      </c>
      <c r="M4" s="86">
        <v>12616442</v>
      </c>
      <c r="N4" s="86"/>
      <c r="O4" t="s">
        <v>60</v>
      </c>
      <c r="P4" s="86"/>
      <c r="Q4" t="s">
        <v>60</v>
      </c>
    </row>
    <row r="5" spans="1:17" x14ac:dyDescent="0.25">
      <c r="A5" t="s">
        <v>67</v>
      </c>
      <c r="B5" t="s">
        <v>60</v>
      </c>
      <c r="C5" t="s">
        <v>60</v>
      </c>
      <c r="D5" s="82">
        <v>647411</v>
      </c>
      <c r="E5" s="82">
        <v>990377</v>
      </c>
      <c r="F5" s="82">
        <v>673787</v>
      </c>
      <c r="G5" t="s">
        <v>60</v>
      </c>
      <c r="H5" t="s">
        <v>67</v>
      </c>
      <c r="I5" t="s">
        <v>60</v>
      </c>
      <c r="J5" t="s">
        <v>60</v>
      </c>
      <c r="K5" s="82">
        <v>130963</v>
      </c>
      <c r="L5" s="82">
        <v>165214</v>
      </c>
      <c r="M5" s="82">
        <v>191242</v>
      </c>
      <c r="N5" t="s">
        <v>60</v>
      </c>
      <c r="O5" t="s">
        <v>60</v>
      </c>
      <c r="P5" t="s">
        <v>60</v>
      </c>
      <c r="Q5" t="s">
        <v>60</v>
      </c>
    </row>
    <row r="6" spans="1:17" x14ac:dyDescent="0.25">
      <c r="A6" s="81" t="s">
        <v>68</v>
      </c>
      <c r="B6" t="s">
        <v>60</v>
      </c>
      <c r="C6" t="s">
        <v>60</v>
      </c>
      <c r="D6" s="82">
        <v>15493435</v>
      </c>
      <c r="E6" s="82">
        <v>17881106</v>
      </c>
      <c r="F6" s="82">
        <v>16679407</v>
      </c>
      <c r="G6" t="s">
        <v>60</v>
      </c>
      <c r="H6" s="81" t="s">
        <v>68</v>
      </c>
      <c r="I6" t="s">
        <v>60</v>
      </c>
      <c r="J6" t="s">
        <v>60</v>
      </c>
      <c r="K6" s="82">
        <v>14391375</v>
      </c>
      <c r="L6" s="82">
        <v>13621302</v>
      </c>
      <c r="M6" s="82">
        <v>12807684</v>
      </c>
      <c r="N6" t="s">
        <v>60</v>
      </c>
      <c r="O6" t="s">
        <v>60</v>
      </c>
      <c r="P6" t="s">
        <v>60</v>
      </c>
      <c r="Q6" t="s">
        <v>60</v>
      </c>
    </row>
    <row r="7" spans="1:17" x14ac:dyDescent="0.25">
      <c r="A7" t="s">
        <v>60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 x14ac:dyDescent="0.25">
      <c r="A8" s="81" t="s">
        <v>69</v>
      </c>
      <c r="B8" t="s">
        <v>60</v>
      </c>
      <c r="C8" s="81" t="s">
        <v>60</v>
      </c>
      <c r="D8" t="s">
        <v>60</v>
      </c>
      <c r="E8" t="s">
        <v>60</v>
      </c>
      <c r="F8" t="s">
        <v>60</v>
      </c>
      <c r="G8" t="s">
        <v>60</v>
      </c>
      <c r="H8" s="81" t="s">
        <v>125</v>
      </c>
      <c r="I8" t="s">
        <v>60</v>
      </c>
      <c r="J8" s="81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  <row r="9" spans="1:17" x14ac:dyDescent="0.25">
      <c r="A9" t="s">
        <v>70</v>
      </c>
      <c r="B9" t="s">
        <v>60</v>
      </c>
      <c r="C9" t="s">
        <v>60</v>
      </c>
      <c r="D9" s="82">
        <v>9094007</v>
      </c>
      <c r="E9" s="82">
        <v>10185942</v>
      </c>
      <c r="F9" s="82">
        <v>9558884</v>
      </c>
      <c r="G9" t="s">
        <v>60</v>
      </c>
      <c r="H9" t="s">
        <v>126</v>
      </c>
      <c r="I9" t="s">
        <v>60</v>
      </c>
      <c r="J9" t="s">
        <v>60</v>
      </c>
      <c r="K9" s="82">
        <v>8919985</v>
      </c>
      <c r="L9" s="82">
        <v>8544577</v>
      </c>
      <c r="M9" s="82">
        <v>7869593</v>
      </c>
      <c r="N9" t="s">
        <v>60</v>
      </c>
      <c r="O9" t="s">
        <v>60</v>
      </c>
      <c r="P9" t="s">
        <v>60</v>
      </c>
      <c r="Q9" t="s">
        <v>60</v>
      </c>
    </row>
    <row r="10" spans="1:17" x14ac:dyDescent="0.25">
      <c r="A10" t="s">
        <v>71</v>
      </c>
      <c r="B10" t="s">
        <v>60</v>
      </c>
      <c r="C10" t="s">
        <v>60</v>
      </c>
      <c r="D10" s="82">
        <v>939721</v>
      </c>
      <c r="E10" s="82">
        <v>1552341</v>
      </c>
      <c r="F10" s="82">
        <v>1812191</v>
      </c>
      <c r="G10" t="s">
        <v>60</v>
      </c>
      <c r="H10" t="s">
        <v>127</v>
      </c>
      <c r="I10" t="s">
        <v>60</v>
      </c>
      <c r="J10" t="s">
        <v>60</v>
      </c>
      <c r="K10" s="82">
        <v>658017</v>
      </c>
      <c r="L10" s="82">
        <v>576568</v>
      </c>
      <c r="M10" s="82">
        <v>447811</v>
      </c>
      <c r="N10" t="s">
        <v>60</v>
      </c>
      <c r="O10" t="s">
        <v>60</v>
      </c>
      <c r="P10" t="s">
        <v>60</v>
      </c>
      <c r="Q10" t="s">
        <v>60</v>
      </c>
    </row>
    <row r="11" spans="1:17" x14ac:dyDescent="0.25">
      <c r="A11" t="s">
        <v>72</v>
      </c>
      <c r="B11" t="s">
        <v>60</v>
      </c>
      <c r="C11" t="s">
        <v>60</v>
      </c>
      <c r="D11" s="82">
        <v>1806122</v>
      </c>
      <c r="E11" s="82">
        <v>2214936</v>
      </c>
      <c r="F11" s="82">
        <v>2545593</v>
      </c>
      <c r="G11" t="s">
        <v>60</v>
      </c>
      <c r="H11" t="s">
        <v>71</v>
      </c>
      <c r="I11" t="s">
        <v>60</v>
      </c>
      <c r="J11" t="s">
        <v>60</v>
      </c>
      <c r="K11" s="82">
        <v>95116</v>
      </c>
      <c r="L11" s="82">
        <v>145604</v>
      </c>
      <c r="M11" s="82">
        <v>192821</v>
      </c>
      <c r="N11" t="s">
        <v>60</v>
      </c>
      <c r="O11" t="s">
        <v>60</v>
      </c>
      <c r="P11" t="s">
        <v>60</v>
      </c>
      <c r="Q11" t="s">
        <v>60</v>
      </c>
    </row>
    <row r="12" spans="1:17" x14ac:dyDescent="0.25">
      <c r="A12" t="s">
        <v>73</v>
      </c>
      <c r="B12" t="s">
        <v>60</v>
      </c>
      <c r="C12" t="s">
        <v>60</v>
      </c>
      <c r="D12" s="82">
        <v>356418</v>
      </c>
      <c r="E12" s="83" t="s">
        <v>74</v>
      </c>
      <c r="F12" s="83" t="s">
        <v>74</v>
      </c>
      <c r="G12" t="s">
        <v>60</v>
      </c>
      <c r="H12" s="88" t="s">
        <v>128</v>
      </c>
      <c r="I12" t="s">
        <v>60</v>
      </c>
      <c r="J12" s="88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</row>
    <row r="13" spans="1:17" x14ac:dyDescent="0.25">
      <c r="A13" t="s">
        <v>51</v>
      </c>
      <c r="B13" t="s">
        <v>60</v>
      </c>
      <c r="C13" t="s">
        <v>60</v>
      </c>
      <c r="D13" s="82">
        <v>714552</v>
      </c>
      <c r="E13" s="82">
        <v>724852</v>
      </c>
      <c r="F13" s="82">
        <v>717073</v>
      </c>
      <c r="G13" t="s">
        <v>60</v>
      </c>
      <c r="H13" t="s">
        <v>129</v>
      </c>
      <c r="I13" t="s">
        <v>60</v>
      </c>
      <c r="J13" t="s">
        <v>60</v>
      </c>
      <c r="K13" s="82">
        <v>74145</v>
      </c>
      <c r="L13" s="82">
        <v>50253</v>
      </c>
      <c r="M13" s="82">
        <v>29592</v>
      </c>
      <c r="N13" t="s">
        <v>60</v>
      </c>
      <c r="O13" t="s">
        <v>60</v>
      </c>
      <c r="P13" t="s">
        <v>60</v>
      </c>
      <c r="Q13" t="s">
        <v>60</v>
      </c>
    </row>
    <row r="14" spans="1:17" x14ac:dyDescent="0.25">
      <c r="A14" s="81" t="s">
        <v>52</v>
      </c>
      <c r="B14" t="s">
        <v>60</v>
      </c>
      <c r="C14" t="s">
        <v>60</v>
      </c>
      <c r="D14" s="82">
        <v>12910820</v>
      </c>
      <c r="E14" s="82">
        <v>14678071</v>
      </c>
      <c r="F14" s="82">
        <v>14633741</v>
      </c>
      <c r="G14" t="s">
        <v>60</v>
      </c>
      <c r="H14" t="s">
        <v>130</v>
      </c>
      <c r="I14" t="s">
        <v>60</v>
      </c>
      <c r="J14" t="s">
        <v>60</v>
      </c>
      <c r="K14" s="82">
        <v>579272</v>
      </c>
      <c r="L14" s="82">
        <v>292824</v>
      </c>
      <c r="M14" s="82">
        <v>444993</v>
      </c>
      <c r="N14" t="s">
        <v>60</v>
      </c>
      <c r="O14" t="s">
        <v>60</v>
      </c>
      <c r="P14" t="s">
        <v>60</v>
      </c>
      <c r="Q14" t="s">
        <v>60</v>
      </c>
    </row>
    <row r="15" spans="1:17" x14ac:dyDescent="0.25">
      <c r="A15" t="s">
        <v>60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131</v>
      </c>
      <c r="I15" t="s">
        <v>60</v>
      </c>
      <c r="J15" t="s">
        <v>60</v>
      </c>
      <c r="K15" s="82">
        <v>550844</v>
      </c>
      <c r="L15" s="82">
        <v>426230</v>
      </c>
      <c r="M15" s="82">
        <v>519941</v>
      </c>
      <c r="N15" t="s">
        <v>60</v>
      </c>
      <c r="O15" t="s">
        <v>60</v>
      </c>
      <c r="P15" t="s">
        <v>60</v>
      </c>
      <c r="Q15" t="s">
        <v>60</v>
      </c>
    </row>
    <row r="16" spans="1:17" x14ac:dyDescent="0.25">
      <c r="A16" t="s">
        <v>75</v>
      </c>
      <c r="B16" t="s">
        <v>60</v>
      </c>
      <c r="C16" t="s">
        <v>60</v>
      </c>
      <c r="D16" s="82">
        <v>2582615</v>
      </c>
      <c r="E16" s="82">
        <v>3203035</v>
      </c>
      <c r="F16" s="82">
        <v>2045666</v>
      </c>
      <c r="G16" t="s">
        <v>60</v>
      </c>
      <c r="H16" s="81" t="s">
        <v>132</v>
      </c>
      <c r="I16" t="s">
        <v>60</v>
      </c>
      <c r="J16" t="s">
        <v>60</v>
      </c>
      <c r="K16" s="82">
        <v>1204261</v>
      </c>
      <c r="L16" s="82">
        <v>769307</v>
      </c>
      <c r="M16" s="82">
        <v>994526</v>
      </c>
      <c r="N16" t="s">
        <v>60</v>
      </c>
      <c r="O16" t="s">
        <v>60</v>
      </c>
      <c r="P16" t="s">
        <v>60</v>
      </c>
      <c r="Q16" t="s">
        <v>60</v>
      </c>
    </row>
    <row r="17" spans="1:17" x14ac:dyDescent="0.25">
      <c r="A17" t="s">
        <v>60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133</v>
      </c>
      <c r="I17" t="s">
        <v>60</v>
      </c>
      <c r="J17" t="s">
        <v>60</v>
      </c>
      <c r="K17" s="82">
        <v>687054</v>
      </c>
      <c r="L17" s="82">
        <v>725601</v>
      </c>
      <c r="M17" s="82">
        <v>793480</v>
      </c>
      <c r="N17" t="s">
        <v>60</v>
      </c>
      <c r="O17" t="s">
        <v>60</v>
      </c>
      <c r="P17" t="s">
        <v>60</v>
      </c>
      <c r="Q17" t="s">
        <v>60</v>
      </c>
    </row>
    <row r="18" spans="1:17" x14ac:dyDescent="0.25">
      <c r="A18" s="81" t="s">
        <v>76</v>
      </c>
      <c r="B18" t="s">
        <v>60</v>
      </c>
      <c r="C18" s="81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134</v>
      </c>
      <c r="I18" t="s">
        <v>60</v>
      </c>
      <c r="J18" t="s">
        <v>60</v>
      </c>
      <c r="K18" s="82">
        <v>295695</v>
      </c>
      <c r="L18" s="83" t="s">
        <v>74</v>
      </c>
      <c r="M18" s="83" t="s">
        <v>74</v>
      </c>
      <c r="N18" t="s">
        <v>60</v>
      </c>
      <c r="O18" t="s">
        <v>60</v>
      </c>
      <c r="P18" t="s">
        <v>60</v>
      </c>
      <c r="Q18" t="s">
        <v>60</v>
      </c>
    </row>
    <row r="19" spans="1:17" x14ac:dyDescent="0.25">
      <c r="A19" t="s">
        <v>77</v>
      </c>
      <c r="B19" t="s">
        <v>60</v>
      </c>
      <c r="C19" t="s">
        <v>60</v>
      </c>
      <c r="D19" s="82">
        <v>22734</v>
      </c>
      <c r="E19" s="82">
        <v>11338</v>
      </c>
      <c r="F19" s="82">
        <v>42776</v>
      </c>
      <c r="G19" t="s">
        <v>60</v>
      </c>
      <c r="H19" t="s">
        <v>135</v>
      </c>
      <c r="I19" t="s">
        <v>60</v>
      </c>
      <c r="J19" t="s">
        <v>60</v>
      </c>
      <c r="K19" s="82">
        <v>817564</v>
      </c>
      <c r="L19" s="82">
        <v>712024</v>
      </c>
      <c r="M19" s="82">
        <v>630577</v>
      </c>
      <c r="N19" t="s">
        <v>60</v>
      </c>
      <c r="O19" t="s">
        <v>60</v>
      </c>
      <c r="P19" t="s">
        <v>60</v>
      </c>
      <c r="Q19" t="s">
        <v>60</v>
      </c>
    </row>
    <row r="20" spans="1:17" x14ac:dyDescent="0.25">
      <c r="A20" t="s">
        <v>78</v>
      </c>
      <c r="B20" t="s">
        <v>60</v>
      </c>
      <c r="C20" t="s">
        <v>60</v>
      </c>
      <c r="D20" s="84">
        <v>-12974</v>
      </c>
      <c r="E20" s="84">
        <v>-16174</v>
      </c>
      <c r="F20" s="84">
        <v>-22781</v>
      </c>
      <c r="G20" t="s">
        <v>60</v>
      </c>
      <c r="H20" t="s">
        <v>136</v>
      </c>
      <c r="I20" t="s">
        <v>60</v>
      </c>
      <c r="J20" t="s">
        <v>60</v>
      </c>
      <c r="K20" s="82">
        <v>145918</v>
      </c>
      <c r="L20" s="83" t="s">
        <v>74</v>
      </c>
      <c r="M20" s="83" t="s">
        <v>74</v>
      </c>
      <c r="N20" t="s">
        <v>60</v>
      </c>
      <c r="O20" t="s">
        <v>60</v>
      </c>
      <c r="P20" t="s">
        <v>60</v>
      </c>
      <c r="Q20" t="s">
        <v>60</v>
      </c>
    </row>
    <row r="21" spans="1:17" x14ac:dyDescent="0.25">
      <c r="A21" t="s">
        <v>56</v>
      </c>
      <c r="B21" t="s">
        <v>60</v>
      </c>
      <c r="C21" t="s">
        <v>60</v>
      </c>
      <c r="D21" s="84">
        <v>-20164</v>
      </c>
      <c r="E21" s="82">
        <v>20557</v>
      </c>
      <c r="F21" s="82">
        <v>1038982</v>
      </c>
      <c r="G21" t="s">
        <v>60</v>
      </c>
      <c r="H21" s="81" t="s">
        <v>52</v>
      </c>
      <c r="I21" t="s">
        <v>60</v>
      </c>
      <c r="J21" t="s">
        <v>60</v>
      </c>
      <c r="K21" s="82">
        <v>12823610</v>
      </c>
      <c r="L21" s="82">
        <v>11473681</v>
      </c>
      <c r="M21" s="82">
        <v>10928808</v>
      </c>
      <c r="N21" t="s">
        <v>60</v>
      </c>
      <c r="O21" t="s">
        <v>60</v>
      </c>
      <c r="P21" t="s">
        <v>60</v>
      </c>
      <c r="Q21" t="s">
        <v>60</v>
      </c>
    </row>
    <row r="22" spans="1:17" x14ac:dyDescent="0.25">
      <c r="A22" s="81" t="s">
        <v>79</v>
      </c>
      <c r="B22" t="s">
        <v>60</v>
      </c>
      <c r="C22" t="s">
        <v>60</v>
      </c>
      <c r="D22" s="84">
        <v>-10404</v>
      </c>
      <c r="E22" s="82">
        <v>15721</v>
      </c>
      <c r="F22" s="82">
        <v>1058977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</row>
    <row r="23" spans="1:17" x14ac:dyDescent="0.25">
      <c r="A23" t="s">
        <v>60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75</v>
      </c>
      <c r="I23" t="s">
        <v>60</v>
      </c>
      <c r="J23" t="s">
        <v>60</v>
      </c>
      <c r="K23" s="82">
        <v>1567765</v>
      </c>
      <c r="L23" s="82">
        <v>2147621</v>
      </c>
      <c r="M23" s="82">
        <v>1878876</v>
      </c>
      <c r="N23" t="s">
        <v>60</v>
      </c>
      <c r="O23" t="s">
        <v>60</v>
      </c>
      <c r="P23" t="s">
        <v>60</v>
      </c>
      <c r="Q23" t="s">
        <v>60</v>
      </c>
    </row>
    <row r="24" spans="1:17" x14ac:dyDescent="0.25">
      <c r="A24" t="s">
        <v>80</v>
      </c>
      <c r="B24" t="s">
        <v>60</v>
      </c>
      <c r="C24" t="s">
        <v>60</v>
      </c>
      <c r="D24" s="82">
        <v>2572211</v>
      </c>
      <c r="E24" s="82">
        <v>3218756</v>
      </c>
      <c r="F24" s="82">
        <v>3104643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</row>
    <row r="25" spans="1:17" x14ac:dyDescent="0.25">
      <c r="A25" t="s">
        <v>81</v>
      </c>
      <c r="B25" t="s">
        <v>60</v>
      </c>
      <c r="C25" t="s">
        <v>60</v>
      </c>
      <c r="D25" s="84">
        <v>-698275</v>
      </c>
      <c r="E25" s="84">
        <v>-762810</v>
      </c>
      <c r="F25" s="84">
        <v>-731736</v>
      </c>
      <c r="G25" t="s">
        <v>60</v>
      </c>
      <c r="H25" s="81" t="s">
        <v>76</v>
      </c>
      <c r="I25" t="s">
        <v>60</v>
      </c>
      <c r="J25" s="81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</row>
    <row r="26" spans="1:17" x14ac:dyDescent="0.25">
      <c r="A26" t="s">
        <v>53</v>
      </c>
      <c r="B26" t="s">
        <v>60</v>
      </c>
      <c r="C26" t="s">
        <v>60</v>
      </c>
      <c r="D26" s="82">
        <v>1873936</v>
      </c>
      <c r="E26" s="82">
        <v>2455946</v>
      </c>
      <c r="F26" s="82">
        <v>2372907</v>
      </c>
      <c r="G26" t="s">
        <v>60</v>
      </c>
      <c r="H26" t="s">
        <v>77</v>
      </c>
      <c r="I26" t="s">
        <v>60</v>
      </c>
      <c r="J26" t="s">
        <v>60</v>
      </c>
      <c r="K26" s="82">
        <v>41006</v>
      </c>
      <c r="L26" s="82">
        <v>44759</v>
      </c>
      <c r="M26" s="82">
        <v>77214</v>
      </c>
      <c r="N26" t="s">
        <v>60</v>
      </c>
      <c r="O26" t="s">
        <v>60</v>
      </c>
      <c r="P26" t="s">
        <v>60</v>
      </c>
      <c r="Q26" t="s">
        <v>60</v>
      </c>
    </row>
    <row r="27" spans="1:17" x14ac:dyDescent="0.25">
      <c r="A27" t="s">
        <v>82</v>
      </c>
      <c r="B27" t="s">
        <v>60</v>
      </c>
      <c r="C27" t="s">
        <v>60</v>
      </c>
      <c r="D27" s="82">
        <v>111263</v>
      </c>
      <c r="E27" s="82">
        <v>45304</v>
      </c>
      <c r="F27" s="82">
        <v>69674</v>
      </c>
      <c r="G27" t="s">
        <v>60</v>
      </c>
      <c r="H27" t="s">
        <v>78</v>
      </c>
      <c r="I27" t="s">
        <v>60</v>
      </c>
      <c r="J27" t="s">
        <v>60</v>
      </c>
      <c r="K27" s="84">
        <v>-63172</v>
      </c>
      <c r="L27" s="84">
        <v>-15006</v>
      </c>
      <c r="M27" s="84">
        <v>-23687</v>
      </c>
      <c r="N27" t="s">
        <v>60</v>
      </c>
      <c r="O27" t="s">
        <v>60</v>
      </c>
      <c r="P27" t="s">
        <v>60</v>
      </c>
      <c r="Q27" t="s">
        <v>60</v>
      </c>
    </row>
    <row r="28" spans="1:17" x14ac:dyDescent="0.25">
      <c r="A28" t="s">
        <v>83</v>
      </c>
      <c r="B28" t="s">
        <v>60</v>
      </c>
      <c r="D28" s="86">
        <v>1762673</v>
      </c>
      <c r="E28" s="86">
        <v>2410642</v>
      </c>
      <c r="F28" s="86">
        <v>2303233</v>
      </c>
      <c r="G28" s="86"/>
      <c r="H28" t="s">
        <v>56</v>
      </c>
      <c r="I28" t="s">
        <v>60</v>
      </c>
      <c r="J28" t="s">
        <v>60</v>
      </c>
      <c r="K28" s="82">
        <v>104488</v>
      </c>
      <c r="L28" s="82">
        <v>11801</v>
      </c>
      <c r="M28" s="82">
        <v>11524</v>
      </c>
      <c r="N28" t="s">
        <v>60</v>
      </c>
      <c r="O28" t="s">
        <v>60</v>
      </c>
      <c r="P28" t="s">
        <v>60</v>
      </c>
      <c r="Q28" t="s">
        <v>60</v>
      </c>
    </row>
    <row r="29" spans="1:17" x14ac:dyDescent="0.25">
      <c r="H29" s="81" t="s">
        <v>79</v>
      </c>
      <c r="I29" t="s">
        <v>60</v>
      </c>
      <c r="J29" t="s">
        <v>60</v>
      </c>
      <c r="K29" s="82">
        <v>82322</v>
      </c>
      <c r="L29" s="82">
        <v>41554</v>
      </c>
      <c r="M29" s="82">
        <v>65051</v>
      </c>
      <c r="N29" t="s">
        <v>60</v>
      </c>
      <c r="O29" t="s">
        <v>60</v>
      </c>
      <c r="P29" t="s">
        <v>60</v>
      </c>
      <c r="Q29" t="s">
        <v>60</v>
      </c>
    </row>
    <row r="30" spans="1:17" x14ac:dyDescent="0.25"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</row>
    <row r="31" spans="1:17" x14ac:dyDescent="0.25">
      <c r="H31" t="s">
        <v>80</v>
      </c>
      <c r="I31" t="s">
        <v>60</v>
      </c>
      <c r="J31" t="s">
        <v>60</v>
      </c>
      <c r="K31" s="82">
        <v>1650087</v>
      </c>
      <c r="L31" s="82">
        <v>2189175</v>
      </c>
      <c r="M31" s="82">
        <v>1943927</v>
      </c>
      <c r="N31" t="s">
        <v>60</v>
      </c>
      <c r="O31" t="s">
        <v>60</v>
      </c>
      <c r="P31" t="s">
        <v>60</v>
      </c>
      <c r="Q31" t="s">
        <v>60</v>
      </c>
    </row>
    <row r="32" spans="1:17" x14ac:dyDescent="0.25">
      <c r="H32" t="s">
        <v>81</v>
      </c>
      <c r="I32" t="s">
        <v>60</v>
      </c>
      <c r="J32" t="s">
        <v>60</v>
      </c>
      <c r="K32" s="82">
        <v>515320</v>
      </c>
      <c r="L32" s="84">
        <v>-533684</v>
      </c>
      <c r="M32" s="84">
        <v>-451358</v>
      </c>
      <c r="N32" t="s">
        <v>60</v>
      </c>
      <c r="O32" t="s">
        <v>60</v>
      </c>
      <c r="P32" t="s">
        <v>60</v>
      </c>
      <c r="Q32" t="s">
        <v>60</v>
      </c>
    </row>
    <row r="33" spans="8:17" x14ac:dyDescent="0.25">
      <c r="H33" t="s">
        <v>53</v>
      </c>
      <c r="I33" t="s">
        <v>60</v>
      </c>
      <c r="J33" t="s">
        <v>60</v>
      </c>
      <c r="K33" s="82">
        <v>2165407</v>
      </c>
      <c r="L33" s="82">
        <v>1655491</v>
      </c>
      <c r="M33" s="82">
        <v>1492569</v>
      </c>
      <c r="N33" t="s">
        <v>60</v>
      </c>
      <c r="O33" t="s">
        <v>60</v>
      </c>
      <c r="P33" t="s">
        <v>60</v>
      </c>
      <c r="Q33" t="s">
        <v>60</v>
      </c>
    </row>
    <row r="34" spans="8:17" x14ac:dyDescent="0.25">
      <c r="H34" t="s">
        <v>82</v>
      </c>
      <c r="I34" t="s">
        <v>60</v>
      </c>
      <c r="J34" t="s">
        <v>60</v>
      </c>
      <c r="K34" s="82">
        <v>66718</v>
      </c>
      <c r="L34" s="82">
        <v>80400</v>
      </c>
      <c r="M34" s="82">
        <v>93057</v>
      </c>
      <c r="N34" t="s">
        <v>60</v>
      </c>
      <c r="O34" t="s">
        <v>60</v>
      </c>
      <c r="P34" t="s">
        <v>60</v>
      </c>
      <c r="Q34" t="s">
        <v>60</v>
      </c>
    </row>
    <row r="35" spans="8:17" x14ac:dyDescent="0.25">
      <c r="H35" t="s">
        <v>83</v>
      </c>
      <c r="I35" t="s">
        <v>60</v>
      </c>
      <c r="K35" s="86">
        <v>2098689</v>
      </c>
      <c r="L35" s="86">
        <v>1575091</v>
      </c>
      <c r="M35" s="86">
        <v>1399512</v>
      </c>
      <c r="N35" s="86"/>
      <c r="O35" t="s">
        <v>60</v>
      </c>
      <c r="P35" s="86"/>
      <c r="Q35" t="s">
        <v>60</v>
      </c>
    </row>
    <row r="36" spans="8:17" x14ac:dyDescent="0.25"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</row>
    <row r="37" spans="8:17" x14ac:dyDescent="0.25">
      <c r="H37" s="81" t="s">
        <v>137</v>
      </c>
      <c r="I37" t="s">
        <v>60</v>
      </c>
      <c r="J37" s="81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</row>
    <row r="38" spans="8:17" x14ac:dyDescent="0.25">
      <c r="H38" t="s">
        <v>55</v>
      </c>
      <c r="I38" t="s">
        <v>60</v>
      </c>
      <c r="J38" t="s">
        <v>60</v>
      </c>
      <c r="K38" s="82">
        <v>466021</v>
      </c>
      <c r="L38" s="82">
        <v>467350</v>
      </c>
      <c r="M38" s="82">
        <v>479657</v>
      </c>
      <c r="N38" t="s">
        <v>60</v>
      </c>
      <c r="O38" t="s">
        <v>60</v>
      </c>
      <c r="P38" t="s">
        <v>60</v>
      </c>
      <c r="Q38" t="s">
        <v>60</v>
      </c>
    </row>
    <row r="39" spans="8:17" x14ac:dyDescent="0.25">
      <c r="H39" t="s">
        <v>54</v>
      </c>
      <c r="I39" t="s">
        <v>60</v>
      </c>
      <c r="J39" t="s">
        <v>60</v>
      </c>
      <c r="K39" s="82">
        <v>522596</v>
      </c>
      <c r="L39" s="82">
        <v>525832</v>
      </c>
      <c r="M39" s="82">
        <v>537964</v>
      </c>
      <c r="N39" t="s">
        <v>60</v>
      </c>
      <c r="O39" t="s">
        <v>60</v>
      </c>
      <c r="P39" t="s">
        <v>60</v>
      </c>
      <c r="Q39" t="s">
        <v>60</v>
      </c>
    </row>
  </sheetData>
  <sortState xmlns:xlrd2="http://schemas.microsoft.com/office/spreadsheetml/2017/richdata2" columnSort="1" ref="K2:Q39">
    <sortCondition ref="K2:Q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Q48"/>
  <sheetViews>
    <sheetView workbookViewId="0">
      <selection activeCell="G12" sqref="G12"/>
    </sheetView>
  </sheetViews>
  <sheetFormatPr defaultRowHeight="15" x14ac:dyDescent="0.25"/>
  <cols>
    <col min="1" max="1" width="31" customWidth="1"/>
    <col min="4" max="7" width="13.140625" customWidth="1"/>
    <col min="8" max="8" width="26" customWidth="1"/>
  </cols>
  <sheetData>
    <row r="1" spans="1:17" x14ac:dyDescent="0.25">
      <c r="A1" s="89" t="s">
        <v>60</v>
      </c>
      <c r="B1" s="89" t="s">
        <v>60</v>
      </c>
      <c r="C1" s="87" t="s">
        <v>61</v>
      </c>
      <c r="D1" s="87"/>
      <c r="E1" s="87"/>
      <c r="F1" s="87"/>
      <c r="G1" s="87"/>
    </row>
    <row r="2" spans="1:17" x14ac:dyDescent="0.25">
      <c r="A2" s="89" t="s">
        <v>60</v>
      </c>
      <c r="B2" s="89"/>
      <c r="D2" s="87" t="s">
        <v>64</v>
      </c>
      <c r="E2" s="87" t="s">
        <v>63</v>
      </c>
      <c r="F2" s="87" t="s">
        <v>62</v>
      </c>
      <c r="G2" s="87"/>
      <c r="H2" t="s">
        <v>60</v>
      </c>
      <c r="K2" s="87" t="s">
        <v>123</v>
      </c>
      <c r="L2" s="87" t="s">
        <v>122</v>
      </c>
      <c r="M2" s="87" t="s">
        <v>121</v>
      </c>
      <c r="N2" s="87"/>
      <c r="P2" s="87"/>
    </row>
    <row r="3" spans="1:17" x14ac:dyDescent="0.25">
      <c r="A3" s="81" t="s">
        <v>84</v>
      </c>
      <c r="B3" s="81" t="s">
        <v>60</v>
      </c>
      <c r="D3" t="s">
        <v>60</v>
      </c>
      <c r="E3" t="s">
        <v>60</v>
      </c>
      <c r="F3" s="81" t="s">
        <v>60</v>
      </c>
      <c r="G3" t="s">
        <v>60</v>
      </c>
      <c r="H3" s="81" t="s">
        <v>84</v>
      </c>
      <c r="I3" s="81" t="s">
        <v>60</v>
      </c>
      <c r="K3" s="89" t="s">
        <v>60</v>
      </c>
      <c r="L3" s="89" t="s">
        <v>60</v>
      </c>
      <c r="M3" s="87" t="s">
        <v>60</v>
      </c>
      <c r="N3" s="89" t="s">
        <v>60</v>
      </c>
      <c r="O3" t="s">
        <v>60</v>
      </c>
      <c r="P3" s="89" t="s">
        <v>60</v>
      </c>
      <c r="Q3" t="s">
        <v>60</v>
      </c>
    </row>
    <row r="4" spans="1:17" x14ac:dyDescent="0.25">
      <c r="A4" t="s">
        <v>53</v>
      </c>
      <c r="B4" t="s">
        <v>60</v>
      </c>
      <c r="D4" s="86">
        <v>1873936</v>
      </c>
      <c r="E4" s="86">
        <v>2455946</v>
      </c>
      <c r="F4" s="86">
        <v>2372907</v>
      </c>
      <c r="G4" s="86"/>
      <c r="H4" t="s">
        <v>53</v>
      </c>
      <c r="I4" t="s">
        <v>60</v>
      </c>
      <c r="K4" s="85">
        <v>2165407</v>
      </c>
      <c r="L4" s="85">
        <v>1655491</v>
      </c>
      <c r="M4" s="85">
        <v>1492569</v>
      </c>
      <c r="N4" s="85"/>
      <c r="O4" t="s">
        <v>60</v>
      </c>
      <c r="P4" s="85"/>
      <c r="Q4" t="s">
        <v>60</v>
      </c>
    </row>
    <row r="5" spans="1:17" x14ac:dyDescent="0.25">
      <c r="A5" s="88" t="s">
        <v>85</v>
      </c>
      <c r="B5" s="88" t="s">
        <v>60</v>
      </c>
      <c r="C5" s="88" t="s">
        <v>60</v>
      </c>
      <c r="D5" t="s">
        <v>60</v>
      </c>
      <c r="E5" t="s">
        <v>60</v>
      </c>
      <c r="F5" t="s">
        <v>60</v>
      </c>
      <c r="G5" t="s">
        <v>60</v>
      </c>
      <c r="H5" s="88" t="s">
        <v>85</v>
      </c>
      <c r="I5" s="88" t="s">
        <v>60</v>
      </c>
      <c r="J5" s="88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 x14ac:dyDescent="0.25">
      <c r="A6" t="s">
        <v>51</v>
      </c>
      <c r="B6" t="s">
        <v>60</v>
      </c>
      <c r="C6" t="s">
        <v>60</v>
      </c>
      <c r="D6" s="82">
        <v>714552</v>
      </c>
      <c r="E6" s="82">
        <v>724852</v>
      </c>
      <c r="F6" s="82">
        <v>717073</v>
      </c>
      <c r="G6" t="s">
        <v>60</v>
      </c>
      <c r="H6" t="s">
        <v>51</v>
      </c>
      <c r="I6" t="s">
        <v>60</v>
      </c>
      <c r="J6" t="s">
        <v>60</v>
      </c>
      <c r="K6" s="82">
        <v>817564</v>
      </c>
      <c r="L6" s="82">
        <v>712024</v>
      </c>
      <c r="M6" s="82">
        <v>630577</v>
      </c>
      <c r="N6" t="s">
        <v>60</v>
      </c>
      <c r="O6" t="s">
        <v>60</v>
      </c>
      <c r="P6" t="s">
        <v>60</v>
      </c>
      <c r="Q6" t="s">
        <v>60</v>
      </c>
    </row>
    <row r="7" spans="1:17" x14ac:dyDescent="0.25">
      <c r="A7" t="s">
        <v>73</v>
      </c>
      <c r="B7" t="s">
        <v>60</v>
      </c>
      <c r="C7" t="s">
        <v>60</v>
      </c>
      <c r="D7" s="82">
        <v>356418</v>
      </c>
      <c r="E7" s="83" t="s">
        <v>74</v>
      </c>
      <c r="F7" s="83" t="s">
        <v>74</v>
      </c>
      <c r="G7" t="s">
        <v>60</v>
      </c>
      <c r="H7" t="s">
        <v>138</v>
      </c>
      <c r="I7" t="s">
        <v>60</v>
      </c>
      <c r="J7" t="s">
        <v>60</v>
      </c>
      <c r="K7" s="82">
        <v>145918</v>
      </c>
      <c r="L7" s="83" t="s">
        <v>74</v>
      </c>
      <c r="M7" s="83" t="s">
        <v>74</v>
      </c>
      <c r="N7" t="s">
        <v>60</v>
      </c>
      <c r="O7" t="s">
        <v>60</v>
      </c>
      <c r="P7" t="s">
        <v>60</v>
      </c>
      <c r="Q7" t="s">
        <v>60</v>
      </c>
    </row>
    <row r="8" spans="1:17" x14ac:dyDescent="0.25">
      <c r="A8" t="s">
        <v>86</v>
      </c>
      <c r="B8" t="s">
        <v>60</v>
      </c>
      <c r="C8" t="s">
        <v>60</v>
      </c>
      <c r="D8" s="82">
        <v>21822</v>
      </c>
      <c r="E8" s="82">
        <v>19724</v>
      </c>
      <c r="F8" s="84">
        <v>-1040651</v>
      </c>
      <c r="G8" t="s">
        <v>60</v>
      </c>
      <c r="H8" t="s">
        <v>139</v>
      </c>
      <c r="I8" t="s">
        <v>60</v>
      </c>
      <c r="J8" t="s">
        <v>60</v>
      </c>
      <c r="K8" s="84">
        <v>-99997</v>
      </c>
      <c r="L8" s="84">
        <v>-11908</v>
      </c>
      <c r="M8" s="84">
        <v>-4121</v>
      </c>
      <c r="N8" t="s">
        <v>60</v>
      </c>
      <c r="O8" t="s">
        <v>60</v>
      </c>
      <c r="P8" t="s">
        <v>60</v>
      </c>
      <c r="Q8" t="s">
        <v>60</v>
      </c>
    </row>
    <row r="9" spans="1:17" x14ac:dyDescent="0.25">
      <c r="A9" t="s">
        <v>87</v>
      </c>
      <c r="B9" t="s">
        <v>60</v>
      </c>
      <c r="C9" t="s">
        <v>60</v>
      </c>
      <c r="D9" s="82">
        <v>64954</v>
      </c>
      <c r="E9" s="82">
        <v>51680</v>
      </c>
      <c r="F9" s="82">
        <v>71450</v>
      </c>
      <c r="G9" t="s">
        <v>60</v>
      </c>
      <c r="H9" t="s">
        <v>87</v>
      </c>
      <c r="I9" t="s">
        <v>60</v>
      </c>
      <c r="J9" t="s">
        <v>60</v>
      </c>
      <c r="K9" s="82">
        <v>29941</v>
      </c>
      <c r="L9" s="82">
        <v>36261</v>
      </c>
      <c r="M9" s="82">
        <v>14262</v>
      </c>
      <c r="N9" t="s">
        <v>60</v>
      </c>
      <c r="O9" t="s">
        <v>60</v>
      </c>
      <c r="P9" t="s">
        <v>60</v>
      </c>
      <c r="Q9" t="s">
        <v>60</v>
      </c>
    </row>
    <row r="10" spans="1:17" x14ac:dyDescent="0.25">
      <c r="A10" t="s">
        <v>88</v>
      </c>
      <c r="B10" t="s">
        <v>60</v>
      </c>
      <c r="C10" t="s">
        <v>60</v>
      </c>
      <c r="D10" s="82">
        <v>899173</v>
      </c>
      <c r="E10" s="82">
        <v>602044</v>
      </c>
      <c r="F10" s="82">
        <v>702735</v>
      </c>
      <c r="G10" t="s">
        <v>60</v>
      </c>
      <c r="H10" t="s">
        <v>88</v>
      </c>
      <c r="I10" t="s">
        <v>60</v>
      </c>
      <c r="J10" t="s">
        <v>60</v>
      </c>
      <c r="K10" s="84">
        <v>-485973</v>
      </c>
      <c r="L10" s="82">
        <v>454699</v>
      </c>
      <c r="M10" s="82">
        <v>228250</v>
      </c>
      <c r="N10" t="s">
        <v>60</v>
      </c>
      <c r="O10" t="s">
        <v>60</v>
      </c>
      <c r="P10" t="s">
        <v>60</v>
      </c>
      <c r="Q10" t="s">
        <v>60</v>
      </c>
    </row>
    <row r="11" spans="1:17" x14ac:dyDescent="0.25">
      <c r="A11" t="s">
        <v>89</v>
      </c>
      <c r="B11" t="s">
        <v>60</v>
      </c>
      <c r="C11" t="s">
        <v>60</v>
      </c>
      <c r="D11" s="82">
        <v>28622</v>
      </c>
      <c r="E11" s="84">
        <v>-33836</v>
      </c>
      <c r="F11" s="82">
        <v>5819</v>
      </c>
      <c r="G11" t="s">
        <v>60</v>
      </c>
      <c r="H11" t="s">
        <v>90</v>
      </c>
      <c r="I11" t="s">
        <v>60</v>
      </c>
      <c r="J11" t="s">
        <v>60</v>
      </c>
      <c r="K11" s="82">
        <v>29750</v>
      </c>
      <c r="L11" s="84">
        <v>-3303</v>
      </c>
      <c r="M11" s="82">
        <v>228557</v>
      </c>
      <c r="N11" t="s">
        <v>60</v>
      </c>
      <c r="O11" t="s">
        <v>60</v>
      </c>
      <c r="P11" t="s">
        <v>60</v>
      </c>
      <c r="Q11" t="s">
        <v>60</v>
      </c>
    </row>
    <row r="12" spans="1:17" x14ac:dyDescent="0.25">
      <c r="A12" t="s">
        <v>90</v>
      </c>
      <c r="B12" t="s">
        <v>60</v>
      </c>
      <c r="C12" t="s">
        <v>60</v>
      </c>
      <c r="D12" s="84">
        <v>-244660</v>
      </c>
      <c r="E12" s="84">
        <v>-1400</v>
      </c>
      <c r="F12" s="82">
        <v>86039</v>
      </c>
      <c r="G12" t="s">
        <v>60</v>
      </c>
      <c r="H12" t="s">
        <v>56</v>
      </c>
      <c r="I12" t="s">
        <v>60</v>
      </c>
      <c r="J12" t="s">
        <v>60</v>
      </c>
      <c r="K12" s="84">
        <v>-29632</v>
      </c>
      <c r="L12" s="84">
        <v>-70900</v>
      </c>
      <c r="M12" s="82">
        <v>92471</v>
      </c>
      <c r="N12" t="s">
        <v>60</v>
      </c>
      <c r="O12" t="s">
        <v>60</v>
      </c>
      <c r="P12" t="s">
        <v>60</v>
      </c>
      <c r="Q12" t="s">
        <v>60</v>
      </c>
    </row>
    <row r="13" spans="1:17" x14ac:dyDescent="0.25">
      <c r="A13" t="s">
        <v>56</v>
      </c>
      <c r="B13" t="s">
        <v>60</v>
      </c>
      <c r="C13" t="s">
        <v>60</v>
      </c>
      <c r="D13" s="82">
        <v>4735</v>
      </c>
      <c r="E13" s="82">
        <v>98278</v>
      </c>
      <c r="F13" s="82">
        <v>235856</v>
      </c>
      <c r="G13" t="s">
        <v>60</v>
      </c>
      <c r="H13" t="s">
        <v>91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</row>
    <row r="14" spans="1:17" x14ac:dyDescent="0.25">
      <c r="A14" t="s">
        <v>91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92</v>
      </c>
      <c r="I14" t="s">
        <v>60</v>
      </c>
      <c r="J14" t="s">
        <v>60</v>
      </c>
      <c r="K14" s="82">
        <v>126848</v>
      </c>
      <c r="L14" s="82">
        <v>14724</v>
      </c>
      <c r="M14" s="82">
        <v>49183</v>
      </c>
      <c r="N14" t="s">
        <v>60</v>
      </c>
      <c r="O14" t="s">
        <v>60</v>
      </c>
      <c r="P14" t="s">
        <v>60</v>
      </c>
      <c r="Q14" t="s">
        <v>60</v>
      </c>
    </row>
    <row r="15" spans="1:17" x14ac:dyDescent="0.25">
      <c r="A15" t="s">
        <v>92</v>
      </c>
      <c r="B15" t="s">
        <v>60</v>
      </c>
      <c r="C15" t="s">
        <v>60</v>
      </c>
      <c r="D15" s="84">
        <v>-25172</v>
      </c>
      <c r="E15" s="82">
        <v>209456</v>
      </c>
      <c r="F15" s="84">
        <v>-24234</v>
      </c>
      <c r="G15" t="s">
        <v>60</v>
      </c>
      <c r="H15" t="s">
        <v>140</v>
      </c>
      <c r="I15" t="s">
        <v>60</v>
      </c>
      <c r="J15" t="s">
        <v>60</v>
      </c>
      <c r="K15" s="84">
        <v>-2888</v>
      </c>
      <c r="L15" s="84">
        <v>-1270</v>
      </c>
      <c r="M15" s="82">
        <v>2314</v>
      </c>
      <c r="N15" t="s">
        <v>60</v>
      </c>
      <c r="O15" t="s">
        <v>60</v>
      </c>
      <c r="P15" t="s">
        <v>60</v>
      </c>
      <c r="Q15" t="s">
        <v>60</v>
      </c>
    </row>
    <row r="16" spans="1:17" x14ac:dyDescent="0.25">
      <c r="A16" t="s">
        <v>93</v>
      </c>
      <c r="B16" t="s">
        <v>60</v>
      </c>
      <c r="C16" t="s">
        <v>60</v>
      </c>
      <c r="D16" s="84">
        <v>-84633</v>
      </c>
      <c r="E16" s="82">
        <v>81197</v>
      </c>
      <c r="F16" s="84">
        <v>-36115</v>
      </c>
      <c r="G16" t="s">
        <v>60</v>
      </c>
      <c r="H16" t="s">
        <v>93</v>
      </c>
      <c r="I16" t="s">
        <v>60</v>
      </c>
      <c r="J16" t="s">
        <v>60</v>
      </c>
      <c r="K16" s="84">
        <v>-46599</v>
      </c>
      <c r="L16" s="82">
        <v>93618</v>
      </c>
      <c r="M16" s="82">
        <v>50101</v>
      </c>
      <c r="N16" t="s">
        <v>60</v>
      </c>
      <c r="O16" t="s">
        <v>60</v>
      </c>
      <c r="P16" t="s">
        <v>60</v>
      </c>
      <c r="Q16" t="s">
        <v>60</v>
      </c>
    </row>
    <row r="17" spans="1:17" x14ac:dyDescent="0.25">
      <c r="A17" t="s">
        <v>94</v>
      </c>
      <c r="B17" t="s">
        <v>60</v>
      </c>
      <c r="C17" t="s">
        <v>60</v>
      </c>
      <c r="D17" s="82">
        <v>58291</v>
      </c>
      <c r="E17" s="84">
        <v>-167985</v>
      </c>
      <c r="F17" s="82">
        <v>36722</v>
      </c>
      <c r="G17" t="s">
        <v>60</v>
      </c>
      <c r="H17" t="s">
        <v>94</v>
      </c>
      <c r="I17" t="s">
        <v>60</v>
      </c>
      <c r="J17" t="s">
        <v>60</v>
      </c>
      <c r="K17" s="82">
        <v>37895</v>
      </c>
      <c r="L17" s="82">
        <v>14788</v>
      </c>
      <c r="M17" s="84">
        <v>-79542</v>
      </c>
      <c r="N17" t="s">
        <v>60</v>
      </c>
      <c r="O17" t="s">
        <v>60</v>
      </c>
      <c r="P17" t="s">
        <v>60</v>
      </c>
      <c r="Q17" t="s">
        <v>60</v>
      </c>
    </row>
    <row r="18" spans="1:17" x14ac:dyDescent="0.25">
      <c r="A18" t="s">
        <v>95</v>
      </c>
      <c r="B18" t="s">
        <v>60</v>
      </c>
      <c r="C18" t="s">
        <v>60</v>
      </c>
      <c r="D18" s="84">
        <v>-271227</v>
      </c>
      <c r="E18" s="84">
        <v>-62356</v>
      </c>
      <c r="F18" s="82">
        <v>27992</v>
      </c>
      <c r="G18" t="s">
        <v>60</v>
      </c>
      <c r="H18" t="s">
        <v>95</v>
      </c>
      <c r="I18" t="s">
        <v>60</v>
      </c>
      <c r="J18" t="s">
        <v>60</v>
      </c>
      <c r="K18" s="84">
        <v>-63154</v>
      </c>
      <c r="L18" s="84">
        <v>-46772</v>
      </c>
      <c r="M18" s="82">
        <v>67398</v>
      </c>
      <c r="N18" t="s">
        <v>60</v>
      </c>
      <c r="O18" t="s">
        <v>60</v>
      </c>
      <c r="P18" t="s">
        <v>60</v>
      </c>
      <c r="Q18" t="s">
        <v>60</v>
      </c>
    </row>
    <row r="19" spans="1:17" x14ac:dyDescent="0.25">
      <c r="A19" t="s">
        <v>96</v>
      </c>
      <c r="B19" t="s">
        <v>60</v>
      </c>
      <c r="C19" t="s">
        <v>60</v>
      </c>
      <c r="D19" s="82">
        <v>73268</v>
      </c>
      <c r="E19" s="82">
        <v>101034</v>
      </c>
      <c r="F19" s="82">
        <v>79116</v>
      </c>
      <c r="G19" t="s">
        <v>60</v>
      </c>
      <c r="H19" t="s">
        <v>96</v>
      </c>
      <c r="I19" t="s">
        <v>60</v>
      </c>
      <c r="J19" t="s">
        <v>60</v>
      </c>
      <c r="K19" s="84">
        <v>-131399</v>
      </c>
      <c r="L19" s="84">
        <v>-160952</v>
      </c>
      <c r="M19" s="82">
        <v>46892</v>
      </c>
      <c r="N19" t="s">
        <v>60</v>
      </c>
      <c r="O19" t="s">
        <v>60</v>
      </c>
      <c r="P19" t="s">
        <v>60</v>
      </c>
      <c r="Q19" t="s">
        <v>60</v>
      </c>
    </row>
    <row r="20" spans="1:17" x14ac:dyDescent="0.25">
      <c r="A20" t="s">
        <v>97</v>
      </c>
      <c r="B20" t="s">
        <v>60</v>
      </c>
      <c r="C20" t="s">
        <v>60</v>
      </c>
      <c r="D20" s="84">
        <v>-499</v>
      </c>
      <c r="E20" s="84">
        <v>-98808</v>
      </c>
      <c r="F20" s="84">
        <v>-52105</v>
      </c>
      <c r="G20" t="s">
        <v>60</v>
      </c>
      <c r="H20" t="s">
        <v>97</v>
      </c>
      <c r="I20" t="s">
        <v>60</v>
      </c>
      <c r="J20" t="s">
        <v>60</v>
      </c>
      <c r="K20" s="84">
        <v>-64909</v>
      </c>
      <c r="L20" s="84">
        <v>-98179</v>
      </c>
      <c r="M20" s="82">
        <v>26172</v>
      </c>
      <c r="N20" t="s">
        <v>60</v>
      </c>
      <c r="O20" t="s">
        <v>60</v>
      </c>
      <c r="P20" t="s">
        <v>60</v>
      </c>
      <c r="Q20" t="s">
        <v>60</v>
      </c>
    </row>
    <row r="21" spans="1:17" x14ac:dyDescent="0.25">
      <c r="A21" t="s">
        <v>98</v>
      </c>
      <c r="B21" t="s">
        <v>60</v>
      </c>
      <c r="C21" t="s">
        <v>60</v>
      </c>
      <c r="D21" s="84">
        <v>-157804</v>
      </c>
      <c r="E21" s="82">
        <v>51425</v>
      </c>
      <c r="F21" s="84">
        <v>-90504</v>
      </c>
      <c r="G21" t="s">
        <v>60</v>
      </c>
      <c r="H21" t="s">
        <v>98</v>
      </c>
      <c r="I21" t="s">
        <v>60</v>
      </c>
      <c r="J21" t="s">
        <v>60</v>
      </c>
      <c r="K21" s="82">
        <v>350735</v>
      </c>
      <c r="L21" s="84">
        <v>-70480</v>
      </c>
      <c r="M21" s="84">
        <v>-182682</v>
      </c>
      <c r="N21" t="s">
        <v>60</v>
      </c>
      <c r="O21" t="s">
        <v>60</v>
      </c>
      <c r="P21" t="s">
        <v>60</v>
      </c>
      <c r="Q21" t="s">
        <v>60</v>
      </c>
    </row>
    <row r="22" spans="1:17" x14ac:dyDescent="0.25">
      <c r="A22" s="81" t="s">
        <v>99</v>
      </c>
      <c r="B22" s="81" t="s">
        <v>60</v>
      </c>
      <c r="C22" s="81" t="s">
        <v>60</v>
      </c>
      <c r="D22" s="82">
        <v>3311776</v>
      </c>
      <c r="E22" s="82">
        <v>4031251</v>
      </c>
      <c r="F22" s="82">
        <v>3092100</v>
      </c>
      <c r="G22" t="s">
        <v>60</v>
      </c>
      <c r="H22" s="81" t="s">
        <v>99</v>
      </c>
      <c r="I22" s="81" t="s">
        <v>60</v>
      </c>
      <c r="J22" s="81" t="s">
        <v>60</v>
      </c>
      <c r="K22" s="82">
        <v>2779507</v>
      </c>
      <c r="L22" s="82">
        <v>2517841</v>
      </c>
      <c r="M22" s="82">
        <v>2662401</v>
      </c>
      <c r="N22" t="s">
        <v>60</v>
      </c>
      <c r="O22" t="s">
        <v>60</v>
      </c>
      <c r="P22" t="s">
        <v>60</v>
      </c>
      <c r="Q22" t="s">
        <v>60</v>
      </c>
    </row>
    <row r="23" spans="1:17" x14ac:dyDescent="0.25">
      <c r="A23" s="81" t="s">
        <v>60</v>
      </c>
      <c r="B23" s="81" t="s">
        <v>60</v>
      </c>
      <c r="C23" s="81" t="s">
        <v>60</v>
      </c>
      <c r="D23" t="s">
        <v>60</v>
      </c>
      <c r="E23" t="s">
        <v>60</v>
      </c>
      <c r="F23" t="s">
        <v>60</v>
      </c>
      <c r="G23" t="s">
        <v>60</v>
      </c>
      <c r="H23" s="81" t="s">
        <v>60</v>
      </c>
      <c r="I23" s="81" t="s">
        <v>60</v>
      </c>
      <c r="J23" s="81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</row>
    <row r="24" spans="1:17" x14ac:dyDescent="0.25">
      <c r="A24" s="81" t="s">
        <v>100</v>
      </c>
      <c r="B24" s="81" t="s">
        <v>60</v>
      </c>
      <c r="C24" s="81" t="s">
        <v>60</v>
      </c>
      <c r="D24" t="s">
        <v>60</v>
      </c>
      <c r="E24" t="s">
        <v>60</v>
      </c>
      <c r="F24" t="s">
        <v>60</v>
      </c>
      <c r="G24" t="s">
        <v>60</v>
      </c>
      <c r="H24" s="81" t="s">
        <v>100</v>
      </c>
      <c r="I24" s="81" t="s">
        <v>60</v>
      </c>
      <c r="J24" s="81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</row>
    <row r="25" spans="1:17" x14ac:dyDescent="0.25">
      <c r="A25" t="s">
        <v>101</v>
      </c>
      <c r="B25" t="s">
        <v>60</v>
      </c>
      <c r="C25" t="s">
        <v>60</v>
      </c>
      <c r="D25" s="84">
        <v>-1902599</v>
      </c>
      <c r="E25" s="84">
        <v>-4687033</v>
      </c>
      <c r="F25" s="84">
        <v>-898326</v>
      </c>
      <c r="G25" t="s">
        <v>60</v>
      </c>
      <c r="H25" t="s">
        <v>101</v>
      </c>
      <c r="I25" t="s">
        <v>60</v>
      </c>
      <c r="J25" t="s">
        <v>60</v>
      </c>
      <c r="K25" s="84">
        <v>-566373</v>
      </c>
      <c r="L25" s="84">
        <v>-1403890</v>
      </c>
      <c r="M25" s="84">
        <v>-1029858</v>
      </c>
      <c r="N25" t="s">
        <v>60</v>
      </c>
      <c r="O25" t="s">
        <v>60</v>
      </c>
      <c r="P25" t="s">
        <v>60</v>
      </c>
      <c r="Q25" t="s">
        <v>60</v>
      </c>
    </row>
    <row r="26" spans="1:17" x14ac:dyDescent="0.25">
      <c r="A26" t="s">
        <v>102</v>
      </c>
      <c r="B26" t="s">
        <v>60</v>
      </c>
      <c r="C26" t="s">
        <v>60</v>
      </c>
      <c r="D26" s="82">
        <v>1944748</v>
      </c>
      <c r="E26" s="82">
        <v>2069343</v>
      </c>
      <c r="F26" s="82">
        <v>3023236</v>
      </c>
      <c r="G26" t="s">
        <v>60</v>
      </c>
      <c r="H26" t="s">
        <v>102</v>
      </c>
      <c r="I26" t="s">
        <v>60</v>
      </c>
      <c r="J26" t="s">
        <v>60</v>
      </c>
      <c r="K26" s="82">
        <v>206272</v>
      </c>
      <c r="L26" s="82">
        <v>730210</v>
      </c>
      <c r="M26" s="82">
        <v>1799966</v>
      </c>
      <c r="N26" t="s">
        <v>60</v>
      </c>
      <c r="O26" t="s">
        <v>60</v>
      </c>
      <c r="P26" t="s">
        <v>60</v>
      </c>
      <c r="Q26" t="s">
        <v>60</v>
      </c>
    </row>
    <row r="27" spans="1:17" x14ac:dyDescent="0.25">
      <c r="A27" t="s">
        <v>103</v>
      </c>
      <c r="B27" t="s">
        <v>60</v>
      </c>
      <c r="C27" t="s">
        <v>60</v>
      </c>
      <c r="D27" s="84">
        <v>-413302</v>
      </c>
      <c r="E27" s="84">
        <v>-1185642</v>
      </c>
      <c r="F27" s="84">
        <v>-2727302</v>
      </c>
      <c r="G27" t="s">
        <v>60</v>
      </c>
      <c r="H27" t="s">
        <v>103</v>
      </c>
      <c r="I27" t="s">
        <v>60</v>
      </c>
      <c r="J27" t="s">
        <v>60</v>
      </c>
      <c r="K27" s="84">
        <v>-431795</v>
      </c>
      <c r="L27" s="84">
        <v>-393938</v>
      </c>
      <c r="M27" s="84">
        <v>-581081</v>
      </c>
      <c r="N27" t="s">
        <v>60</v>
      </c>
      <c r="O27" t="s">
        <v>60</v>
      </c>
      <c r="P27" t="s">
        <v>60</v>
      </c>
      <c r="Q27" t="s">
        <v>60</v>
      </c>
    </row>
    <row r="28" spans="1:17" x14ac:dyDescent="0.25">
      <c r="A28" t="s">
        <v>104</v>
      </c>
      <c r="B28" t="s">
        <v>60</v>
      </c>
      <c r="C28" t="s">
        <v>60</v>
      </c>
      <c r="D28" s="84">
        <v>-779204</v>
      </c>
      <c r="E28" s="84">
        <v>-777885</v>
      </c>
      <c r="F28" s="84">
        <v>-984309</v>
      </c>
      <c r="G28" t="s">
        <v>60</v>
      </c>
      <c r="H28" t="s">
        <v>104</v>
      </c>
      <c r="I28" t="s">
        <v>60</v>
      </c>
      <c r="J28" t="s">
        <v>60</v>
      </c>
      <c r="K28" s="84">
        <v>-953498</v>
      </c>
      <c r="L28" s="84">
        <v>-922759</v>
      </c>
      <c r="M28" s="84">
        <v>-901367</v>
      </c>
      <c r="N28" t="s">
        <v>60</v>
      </c>
      <c r="O28" t="s">
        <v>60</v>
      </c>
      <c r="P28" t="s">
        <v>60</v>
      </c>
      <c r="Q28" t="s">
        <v>60</v>
      </c>
    </row>
    <row r="29" spans="1:17" x14ac:dyDescent="0.25">
      <c r="A29" t="s">
        <v>105</v>
      </c>
      <c r="B29" t="s">
        <v>60</v>
      </c>
      <c r="C29" t="s">
        <v>60</v>
      </c>
      <c r="D29" s="83" t="s">
        <v>74</v>
      </c>
      <c r="E29" s="82">
        <v>337490</v>
      </c>
      <c r="F29" s="83" t="s">
        <v>74</v>
      </c>
      <c r="G29" t="s">
        <v>60</v>
      </c>
      <c r="H29" t="s">
        <v>141</v>
      </c>
      <c r="I29" t="s">
        <v>60</v>
      </c>
      <c r="J29" t="s">
        <v>60</v>
      </c>
      <c r="K29" s="84">
        <v>-4711154</v>
      </c>
      <c r="L29" s="84">
        <v>-2500</v>
      </c>
      <c r="M29" s="84">
        <v>-12155</v>
      </c>
      <c r="N29" t="s">
        <v>60</v>
      </c>
      <c r="O29" t="s">
        <v>60</v>
      </c>
      <c r="P29" t="s">
        <v>60</v>
      </c>
      <c r="Q29" t="s">
        <v>60</v>
      </c>
    </row>
    <row r="30" spans="1:17" x14ac:dyDescent="0.25">
      <c r="A30" t="s">
        <v>106</v>
      </c>
      <c r="B30" t="s">
        <v>60</v>
      </c>
      <c r="C30" t="s">
        <v>60</v>
      </c>
      <c r="D30" s="84">
        <v>-1387542</v>
      </c>
      <c r="E30" s="84">
        <v>-122657</v>
      </c>
      <c r="F30" s="84">
        <v>-7206865</v>
      </c>
      <c r="G30" t="s">
        <v>60</v>
      </c>
      <c r="H30" t="s">
        <v>142</v>
      </c>
      <c r="I30" t="s">
        <v>60</v>
      </c>
      <c r="J30" t="s">
        <v>60</v>
      </c>
      <c r="K30" s="84">
        <v>-90381</v>
      </c>
      <c r="L30" s="83" t="s">
        <v>74</v>
      </c>
      <c r="M30" s="83" t="s">
        <v>74</v>
      </c>
      <c r="N30" t="s">
        <v>60</v>
      </c>
      <c r="O30" t="s">
        <v>60</v>
      </c>
      <c r="P30" t="s">
        <v>60</v>
      </c>
      <c r="Q30" t="s">
        <v>60</v>
      </c>
    </row>
    <row r="31" spans="1:17" x14ac:dyDescent="0.25">
      <c r="A31" t="s">
        <v>107</v>
      </c>
      <c r="B31" t="s">
        <v>60</v>
      </c>
      <c r="C31" t="s">
        <v>60</v>
      </c>
      <c r="D31" s="84">
        <v>-1312500</v>
      </c>
      <c r="E31" s="83" t="s">
        <v>74</v>
      </c>
      <c r="F31" s="83" t="s">
        <v>74</v>
      </c>
      <c r="G31" t="s">
        <v>60</v>
      </c>
      <c r="H31" t="s">
        <v>56</v>
      </c>
      <c r="I31" t="s">
        <v>60</v>
      </c>
      <c r="J31" t="s">
        <v>60</v>
      </c>
      <c r="K31" s="82">
        <v>25376</v>
      </c>
      <c r="L31" s="82">
        <v>17604</v>
      </c>
      <c r="M31" s="82">
        <v>6659</v>
      </c>
      <c r="N31" t="s">
        <v>60</v>
      </c>
      <c r="O31" t="s">
        <v>60</v>
      </c>
      <c r="P31" t="s">
        <v>60</v>
      </c>
      <c r="Q31" t="s">
        <v>60</v>
      </c>
    </row>
    <row r="32" spans="1:17" x14ac:dyDescent="0.25">
      <c r="A32" t="s">
        <v>56</v>
      </c>
      <c r="B32" t="s">
        <v>60</v>
      </c>
      <c r="C32" t="s">
        <v>60</v>
      </c>
      <c r="D32" s="84">
        <v>-11173</v>
      </c>
      <c r="E32" s="84">
        <v>-44029</v>
      </c>
      <c r="F32" s="82">
        <v>6527</v>
      </c>
      <c r="G32" t="s">
        <v>60</v>
      </c>
      <c r="H32" s="81" t="s">
        <v>108</v>
      </c>
      <c r="I32" s="81" t="s">
        <v>60</v>
      </c>
      <c r="J32" s="81" t="s">
        <v>60</v>
      </c>
      <c r="K32" s="84">
        <v>-6521553</v>
      </c>
      <c r="L32" s="84">
        <v>-1975273</v>
      </c>
      <c r="M32" s="84">
        <v>-717836</v>
      </c>
      <c r="N32" t="s">
        <v>60</v>
      </c>
      <c r="O32" t="s">
        <v>60</v>
      </c>
      <c r="P32" t="s">
        <v>60</v>
      </c>
      <c r="Q32" t="s">
        <v>60</v>
      </c>
    </row>
    <row r="33" spans="1:17" x14ac:dyDescent="0.25">
      <c r="A33" s="81" t="s">
        <v>108</v>
      </c>
      <c r="B33" s="81" t="s">
        <v>60</v>
      </c>
      <c r="C33" s="81" t="s">
        <v>60</v>
      </c>
      <c r="D33" s="84">
        <v>-3861572</v>
      </c>
      <c r="E33" s="84">
        <v>-4410413</v>
      </c>
      <c r="F33" s="84">
        <v>-8787039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</row>
    <row r="34" spans="1:17" x14ac:dyDescent="0.25">
      <c r="A34" t="s">
        <v>60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s="81" t="s">
        <v>109</v>
      </c>
      <c r="I34" s="81" t="s">
        <v>60</v>
      </c>
      <c r="J34" s="81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</row>
    <row r="35" spans="1:17" x14ac:dyDescent="0.25">
      <c r="A35" s="81" t="s">
        <v>109</v>
      </c>
      <c r="B35" s="81" t="s">
        <v>60</v>
      </c>
      <c r="C35" s="81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143</v>
      </c>
      <c r="I35" t="s">
        <v>60</v>
      </c>
      <c r="J35" t="s">
        <v>60</v>
      </c>
      <c r="K35" s="82">
        <v>1000000</v>
      </c>
      <c r="L35" s="83" t="s">
        <v>74</v>
      </c>
      <c r="M35" s="83" t="s">
        <v>74</v>
      </c>
      <c r="N35" t="s">
        <v>60</v>
      </c>
      <c r="O35" t="s">
        <v>60</v>
      </c>
      <c r="P35" t="s">
        <v>60</v>
      </c>
      <c r="Q35" t="s">
        <v>60</v>
      </c>
    </row>
    <row r="36" spans="1:17" x14ac:dyDescent="0.25">
      <c r="A36" t="s">
        <v>110</v>
      </c>
      <c r="B36" t="s">
        <v>60</v>
      </c>
      <c r="C36" t="s">
        <v>60</v>
      </c>
      <c r="D36" s="84">
        <v>-100536</v>
      </c>
      <c r="E36" s="84">
        <v>-89876</v>
      </c>
      <c r="F36" s="84">
        <v>-83117</v>
      </c>
      <c r="G36" t="s">
        <v>60</v>
      </c>
      <c r="H36" t="s">
        <v>111</v>
      </c>
      <c r="I36" t="s">
        <v>60</v>
      </c>
      <c r="J36" t="s">
        <v>60</v>
      </c>
      <c r="K36" s="84">
        <v>-1074139</v>
      </c>
      <c r="L36" s="84">
        <v>-1108489</v>
      </c>
      <c r="M36" s="84">
        <v>-1317372</v>
      </c>
      <c r="N36" t="s">
        <v>60</v>
      </c>
      <c r="O36" t="s">
        <v>60</v>
      </c>
      <c r="P36" t="s">
        <v>60</v>
      </c>
      <c r="Q36" t="s">
        <v>60</v>
      </c>
    </row>
    <row r="37" spans="1:17" x14ac:dyDescent="0.25">
      <c r="A37" t="s">
        <v>111</v>
      </c>
      <c r="B37" t="s">
        <v>60</v>
      </c>
      <c r="C37" t="s">
        <v>60</v>
      </c>
      <c r="D37" s="84">
        <v>-1100000</v>
      </c>
      <c r="E37" s="84">
        <v>-2000000</v>
      </c>
      <c r="F37" s="84">
        <v>-2056821</v>
      </c>
      <c r="G37" t="s">
        <v>60</v>
      </c>
      <c r="H37" t="s">
        <v>110</v>
      </c>
      <c r="I37" t="s">
        <v>60</v>
      </c>
      <c r="J37" t="s">
        <v>60</v>
      </c>
      <c r="K37" s="84">
        <v>-42422</v>
      </c>
      <c r="L37" s="84">
        <v>-42767</v>
      </c>
      <c r="M37" s="84">
        <v>-41548</v>
      </c>
      <c r="N37" t="s">
        <v>60</v>
      </c>
      <c r="O37" t="s">
        <v>60</v>
      </c>
      <c r="P37" t="s">
        <v>60</v>
      </c>
      <c r="Q37" t="s">
        <v>60</v>
      </c>
    </row>
    <row r="38" spans="1:17" x14ac:dyDescent="0.25">
      <c r="A38" t="s">
        <v>112</v>
      </c>
      <c r="B38" t="s">
        <v>60</v>
      </c>
      <c r="C38" t="s">
        <v>60</v>
      </c>
      <c r="D38" s="84">
        <v>-311735</v>
      </c>
      <c r="E38" s="83" t="s">
        <v>74</v>
      </c>
      <c r="F38" s="83" t="s">
        <v>74</v>
      </c>
      <c r="G38" t="s">
        <v>60</v>
      </c>
      <c r="H38" t="s">
        <v>144</v>
      </c>
      <c r="I38" t="s">
        <v>60</v>
      </c>
      <c r="J38" t="s">
        <v>60</v>
      </c>
      <c r="K38" s="84">
        <v>-7098</v>
      </c>
      <c r="L38" s="83" t="s">
        <v>74</v>
      </c>
      <c r="M38" s="83" t="s">
        <v>74</v>
      </c>
      <c r="N38" t="s">
        <v>60</v>
      </c>
      <c r="O38" t="s">
        <v>60</v>
      </c>
      <c r="P38" t="s">
        <v>60</v>
      </c>
      <c r="Q38" t="s">
        <v>60</v>
      </c>
    </row>
    <row r="39" spans="1:17" x14ac:dyDescent="0.25">
      <c r="A39" t="s">
        <v>113</v>
      </c>
      <c r="B39" t="s">
        <v>60</v>
      </c>
      <c r="C39" t="s">
        <v>60</v>
      </c>
      <c r="D39" s="82">
        <v>1000000</v>
      </c>
      <c r="E39" s="82">
        <v>6750000</v>
      </c>
      <c r="F39" s="82">
        <v>2000000</v>
      </c>
      <c r="G39" t="s">
        <v>60</v>
      </c>
      <c r="H39" t="s">
        <v>115</v>
      </c>
      <c r="I39" t="s">
        <v>60</v>
      </c>
      <c r="J39" t="s">
        <v>60</v>
      </c>
      <c r="K39" s="82">
        <v>28574</v>
      </c>
      <c r="L39" s="82">
        <v>19981</v>
      </c>
      <c r="M39" s="82">
        <v>36435</v>
      </c>
      <c r="N39" t="s">
        <v>60</v>
      </c>
      <c r="O39" t="s">
        <v>60</v>
      </c>
      <c r="P39" t="s">
        <v>60</v>
      </c>
      <c r="Q39" t="s">
        <v>60</v>
      </c>
    </row>
    <row r="40" spans="1:17" x14ac:dyDescent="0.25">
      <c r="A40" t="s">
        <v>114</v>
      </c>
      <c r="B40" t="s">
        <v>60</v>
      </c>
      <c r="C40" t="s">
        <v>60</v>
      </c>
      <c r="D40" s="82">
        <v>2000000</v>
      </c>
      <c r="E40" s="83" t="s">
        <v>74</v>
      </c>
      <c r="F40" s="83" t="s">
        <v>74</v>
      </c>
      <c r="G40" t="s">
        <v>60</v>
      </c>
      <c r="H40" t="s">
        <v>145</v>
      </c>
      <c r="I40" t="s">
        <v>60</v>
      </c>
      <c r="J40" t="s">
        <v>60</v>
      </c>
      <c r="K40" s="83" t="s">
        <v>74</v>
      </c>
      <c r="L40" s="83" t="s">
        <v>74</v>
      </c>
      <c r="M40" s="82">
        <v>998408</v>
      </c>
      <c r="N40" t="s">
        <v>60</v>
      </c>
      <c r="O40" t="s">
        <v>60</v>
      </c>
      <c r="P40" t="s">
        <v>60</v>
      </c>
      <c r="Q40" t="s">
        <v>60</v>
      </c>
    </row>
    <row r="41" spans="1:17" x14ac:dyDescent="0.25">
      <c r="A41" t="s">
        <v>115</v>
      </c>
      <c r="B41" t="s">
        <v>60</v>
      </c>
      <c r="C41" t="s">
        <v>60</v>
      </c>
      <c r="D41" s="82">
        <v>27414</v>
      </c>
      <c r="E41" s="82">
        <v>58303</v>
      </c>
      <c r="F41" s="82">
        <v>18132</v>
      </c>
      <c r="G41" t="s">
        <v>60</v>
      </c>
      <c r="H41" t="s">
        <v>146</v>
      </c>
      <c r="I41" t="s">
        <v>60</v>
      </c>
      <c r="J41" t="s">
        <v>60</v>
      </c>
      <c r="K41" s="84">
        <v>-6158</v>
      </c>
      <c r="L41" s="83" t="s">
        <v>74</v>
      </c>
      <c r="M41" s="83" t="s">
        <v>74</v>
      </c>
      <c r="N41" t="s">
        <v>60</v>
      </c>
      <c r="O41" t="s">
        <v>60</v>
      </c>
      <c r="P41" t="s">
        <v>60</v>
      </c>
      <c r="Q41" t="s">
        <v>60</v>
      </c>
    </row>
    <row r="42" spans="1:17" x14ac:dyDescent="0.25">
      <c r="A42" t="s">
        <v>116</v>
      </c>
      <c r="B42" t="s">
        <v>60</v>
      </c>
      <c r="C42" t="s">
        <v>60</v>
      </c>
      <c r="D42" s="84">
        <v>-15675</v>
      </c>
      <c r="E42" s="84">
        <v>-34459</v>
      </c>
      <c r="F42" s="84">
        <v>-51121</v>
      </c>
      <c r="G42" t="s">
        <v>60</v>
      </c>
      <c r="H42" t="s">
        <v>56</v>
      </c>
      <c r="I42" t="s">
        <v>60</v>
      </c>
      <c r="J42" t="s">
        <v>60</v>
      </c>
      <c r="K42" s="84">
        <v>-1994</v>
      </c>
      <c r="L42" s="84">
        <v>-3270</v>
      </c>
      <c r="M42" s="84">
        <v>-4092</v>
      </c>
      <c r="N42" t="s">
        <v>60</v>
      </c>
      <c r="O42" t="s">
        <v>60</v>
      </c>
      <c r="P42" t="s">
        <v>60</v>
      </c>
      <c r="Q42" t="s">
        <v>60</v>
      </c>
    </row>
    <row r="43" spans="1:17" x14ac:dyDescent="0.25">
      <c r="A43" t="s">
        <v>56</v>
      </c>
      <c r="B43" t="s">
        <v>60</v>
      </c>
      <c r="C43" t="s">
        <v>60</v>
      </c>
      <c r="D43" s="82">
        <v>2</v>
      </c>
      <c r="E43" s="84">
        <v>-24540</v>
      </c>
      <c r="F43" s="84">
        <v>-18413</v>
      </c>
      <c r="G43" t="s">
        <v>60</v>
      </c>
      <c r="H43" s="81" t="s">
        <v>117</v>
      </c>
      <c r="I43" s="81" t="s">
        <v>60</v>
      </c>
      <c r="J43" s="81" t="s">
        <v>60</v>
      </c>
      <c r="K43" s="84">
        <v>-103237</v>
      </c>
      <c r="L43" s="84">
        <v>-1134545</v>
      </c>
      <c r="M43" s="84">
        <v>-328169</v>
      </c>
      <c r="N43" t="s">
        <v>60</v>
      </c>
      <c r="O43" t="s">
        <v>60</v>
      </c>
      <c r="P43" t="s">
        <v>60</v>
      </c>
      <c r="Q43" t="s">
        <v>60</v>
      </c>
    </row>
    <row r="44" spans="1:17" x14ac:dyDescent="0.25">
      <c r="A44" s="81" t="s">
        <v>117</v>
      </c>
      <c r="B44" s="81" t="s">
        <v>60</v>
      </c>
      <c r="C44" s="81" t="s">
        <v>60</v>
      </c>
      <c r="D44" s="82">
        <v>1499470</v>
      </c>
      <c r="E44" s="82">
        <v>4659428</v>
      </c>
      <c r="F44" s="84">
        <v>-191340</v>
      </c>
      <c r="G44" t="s">
        <v>60</v>
      </c>
      <c r="H44" s="81" t="s">
        <v>60</v>
      </c>
      <c r="I44" s="81" t="s">
        <v>60</v>
      </c>
      <c r="J44" s="81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</row>
    <row r="45" spans="1:17" x14ac:dyDescent="0.25">
      <c r="A45" s="81" t="s">
        <v>60</v>
      </c>
      <c r="B45" s="81" t="s">
        <v>60</v>
      </c>
      <c r="C45" s="81" t="s">
        <v>60</v>
      </c>
      <c r="D45" t="s">
        <v>60</v>
      </c>
      <c r="E45" t="s">
        <v>60</v>
      </c>
      <c r="F45" t="s">
        <v>60</v>
      </c>
      <c r="G45" t="s">
        <v>60</v>
      </c>
      <c r="H45" s="81" t="s">
        <v>118</v>
      </c>
      <c r="I45" s="81" t="s">
        <v>60</v>
      </c>
      <c r="J45" s="81" t="s">
        <v>60</v>
      </c>
      <c r="K45" s="84">
        <v>-3845283</v>
      </c>
      <c r="L45" s="84">
        <v>-591977</v>
      </c>
      <c r="M45" s="82">
        <v>1616396</v>
      </c>
      <c r="N45" t="s">
        <v>60</v>
      </c>
      <c r="O45" t="s">
        <v>60</v>
      </c>
      <c r="P45" t="s">
        <v>60</v>
      </c>
      <c r="Q45" t="s">
        <v>60</v>
      </c>
    </row>
    <row r="46" spans="1:17" x14ac:dyDescent="0.25">
      <c r="A46" s="81" t="s">
        <v>118</v>
      </c>
      <c r="B46" s="81" t="s">
        <v>60</v>
      </c>
      <c r="C46" s="81" t="s">
        <v>60</v>
      </c>
      <c r="D46" s="82">
        <v>949674</v>
      </c>
      <c r="E46" s="82">
        <v>4280266</v>
      </c>
      <c r="F46" s="84">
        <v>-5886279</v>
      </c>
      <c r="G46" t="s">
        <v>60</v>
      </c>
      <c r="H46" t="s">
        <v>119</v>
      </c>
      <c r="I46" t="s">
        <v>60</v>
      </c>
      <c r="J46" s="89" t="s">
        <v>60</v>
      </c>
      <c r="K46" s="90">
        <v>5325184</v>
      </c>
      <c r="L46" s="90">
        <v>1479901</v>
      </c>
      <c r="M46" s="90">
        <v>887924</v>
      </c>
      <c r="N46" t="s">
        <v>60</v>
      </c>
      <c r="O46" s="89" t="s">
        <v>60</v>
      </c>
      <c r="P46" t="s">
        <v>60</v>
      </c>
      <c r="Q46" s="89" t="s">
        <v>60</v>
      </c>
    </row>
    <row r="47" spans="1:17" x14ac:dyDescent="0.25">
      <c r="A47" t="s">
        <v>119</v>
      </c>
      <c r="B47" t="s">
        <v>60</v>
      </c>
      <c r="C47" t="s">
        <v>60</v>
      </c>
      <c r="D47" s="82">
        <v>2504320</v>
      </c>
      <c r="E47" s="82">
        <v>3453994</v>
      </c>
      <c r="F47" s="82">
        <v>7734260</v>
      </c>
      <c r="G47" t="s">
        <v>60</v>
      </c>
      <c r="H47" t="s">
        <v>120</v>
      </c>
      <c r="I47" t="s">
        <v>60</v>
      </c>
      <c r="K47" s="85">
        <v>1479901</v>
      </c>
      <c r="L47" s="85">
        <v>887924</v>
      </c>
      <c r="M47" s="85">
        <v>2504320</v>
      </c>
      <c r="N47" s="85"/>
      <c r="O47" t="s">
        <v>60</v>
      </c>
      <c r="P47" s="85"/>
      <c r="Q47" t="s">
        <v>60</v>
      </c>
    </row>
    <row r="48" spans="1:17" x14ac:dyDescent="0.25">
      <c r="A48" t="s">
        <v>120</v>
      </c>
      <c r="B48" t="s">
        <v>60</v>
      </c>
      <c r="D48" s="86">
        <v>3453994</v>
      </c>
      <c r="E48" s="86">
        <v>7734260</v>
      </c>
      <c r="F48" s="86">
        <v>1847981</v>
      </c>
      <c r="G48" s="86"/>
    </row>
  </sheetData>
  <sortState xmlns:xlrd2="http://schemas.microsoft.com/office/spreadsheetml/2017/richdata2" columnSort="1" ref="K2:Q47">
    <sortCondition ref="K2:Q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f>'DISH DCF'!O42</f>
        <v>0.245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1.84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'DISH DCF'!D70</f>
        <v>3341958.70468</v>
      </c>
      <c r="D12" s="2"/>
      <c r="E12" s="2" t="s">
        <v>33</v>
      </c>
      <c r="F12" s="2"/>
      <c r="G12" s="23">
        <f>'DISH DCF'!D67</f>
        <v>4721721</v>
      </c>
      <c r="H12" s="2"/>
      <c r="I12" s="2" t="s">
        <v>45</v>
      </c>
      <c r="J12" s="2"/>
      <c r="K12" s="23">
        <f>G12+C12</f>
        <v>8063679.7046799995</v>
      </c>
      <c r="L12" s="2"/>
    </row>
    <row r="13" spans="1:12" x14ac:dyDescent="0.25">
      <c r="A13" s="2" t="s">
        <v>46</v>
      </c>
      <c r="B13" s="2"/>
      <c r="C13" s="46">
        <f>C12/K12</f>
        <v>0.41444586430440605</v>
      </c>
      <c r="D13" s="2"/>
      <c r="E13" s="2" t="s">
        <v>47</v>
      </c>
      <c r="F13" s="2"/>
      <c r="G13" s="47">
        <f>G12/K12</f>
        <v>0.585554135695594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0.1474</v>
      </c>
      <c r="D14" s="2"/>
      <c r="E14" s="2" t="s">
        <v>49</v>
      </c>
      <c r="F14" s="2"/>
      <c r="G14" s="47">
        <v>0.11</v>
      </c>
      <c r="H14" s="2"/>
      <c r="I14" s="49" t="s">
        <v>1</v>
      </c>
      <c r="J14" s="50"/>
      <c r="K14" s="51">
        <f>C13*C14+G14*G13*(1-D6)</f>
        <v>0.10971959136798853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2023-09-14T07:46:43Z</dcterms:modified>
</cp:coreProperties>
</file>