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1\Downloads\"/>
    </mc:Choice>
  </mc:AlternateContent>
  <xr:revisionPtr revIDLastSave="0" documentId="13_ncr:1_{AF09CC0C-4176-495A-AEE1-AAD2BA8D9035}" xr6:coauthVersionLast="47" xr6:coauthVersionMax="47" xr10:uidLastSave="{00000000-0000-0000-0000-000000000000}"/>
  <bookViews>
    <workbookView xWindow="-120" yWindow="-120" windowWidth="20730" windowHeight="11040" xr2:uid="{3F256251-7061-49B2-9B0B-301EC1E08ECF}"/>
  </bookViews>
  <sheets>
    <sheet name="COHR DCF" sheetId="1" r:id="rId1"/>
    <sheet name="WACC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66" i="1" l="1"/>
  <c r="L67" i="1" s="1"/>
  <c r="L64" i="1"/>
  <c r="L63" i="1" s="1"/>
  <c r="D29" i="1" l="1"/>
  <c r="E29" i="1"/>
  <c r="F29" i="1"/>
  <c r="G29" i="1"/>
  <c r="H29" i="1"/>
  <c r="C29" i="1"/>
  <c r="D26" i="1"/>
  <c r="E26" i="1"/>
  <c r="F26" i="1"/>
  <c r="G26" i="1"/>
  <c r="H26" i="1"/>
  <c r="C26" i="1"/>
  <c r="D23" i="1"/>
  <c r="E23" i="1"/>
  <c r="F23" i="1"/>
  <c r="G23" i="1"/>
  <c r="H23" i="1"/>
  <c r="C23" i="1"/>
  <c r="D20" i="1"/>
  <c r="D31" i="1" s="1"/>
  <c r="D32" i="1" s="1"/>
  <c r="E20" i="1"/>
  <c r="E31" i="1" s="1"/>
  <c r="F20" i="1"/>
  <c r="G20" i="1"/>
  <c r="H20" i="1"/>
  <c r="C20" i="1"/>
  <c r="C31" i="1" s="1"/>
  <c r="D66" i="1"/>
  <c r="D67" i="1" s="1"/>
  <c r="C14" i="2"/>
  <c r="G12" i="2"/>
  <c r="H31" i="1"/>
  <c r="H32" i="1" s="1"/>
  <c r="I11" i="1"/>
  <c r="I25" i="1" s="1"/>
  <c r="H12" i="1"/>
  <c r="D12" i="1"/>
  <c r="C45" i="1"/>
  <c r="C46" i="1" s="1"/>
  <c r="D45" i="1"/>
  <c r="E45" i="1"/>
  <c r="E46" i="1" s="1"/>
  <c r="F31" i="1"/>
  <c r="F32" i="1" s="1"/>
  <c r="H51" i="1"/>
  <c r="H52" i="1" s="1"/>
  <c r="F45" i="1"/>
  <c r="G45" i="1"/>
  <c r="G46" i="1" s="1"/>
  <c r="H45" i="1"/>
  <c r="H46" i="1" s="1"/>
  <c r="C52" i="1"/>
  <c r="D52" i="1"/>
  <c r="E52" i="1"/>
  <c r="F52" i="1"/>
  <c r="G52" i="1"/>
  <c r="C49" i="1"/>
  <c r="D49" i="1"/>
  <c r="E49" i="1"/>
  <c r="F49" i="1"/>
  <c r="G49" i="1"/>
  <c r="H49" i="1"/>
  <c r="F46" i="1"/>
  <c r="D46" i="1"/>
  <c r="C16" i="1"/>
  <c r="C17" i="1" s="1"/>
  <c r="D16" i="1"/>
  <c r="D34" i="1" s="1"/>
  <c r="D36" i="1" s="1"/>
  <c r="E16" i="1"/>
  <c r="E17" i="1" s="1"/>
  <c r="F16" i="1"/>
  <c r="F34" i="1" s="1"/>
  <c r="F38" i="1" s="1"/>
  <c r="G16" i="1"/>
  <c r="G17" i="1" s="1"/>
  <c r="H16" i="1"/>
  <c r="H34" i="1" s="1"/>
  <c r="H36" i="1" s="1"/>
  <c r="H55" i="1" s="1"/>
  <c r="E12" i="1"/>
  <c r="F12" i="1"/>
  <c r="G12" i="1"/>
  <c r="J9" i="1"/>
  <c r="K9" i="1" s="1"/>
  <c r="L9" i="1" s="1"/>
  <c r="M9" i="1" s="1"/>
  <c r="N9" i="1" s="1"/>
  <c r="O9" i="1" s="1"/>
  <c r="P9" i="1" s="1"/>
  <c r="Q9" i="1" s="1"/>
  <c r="R9" i="1" s="1"/>
  <c r="C12" i="2" l="1"/>
  <c r="I19" i="1"/>
  <c r="I28" i="1"/>
  <c r="I22" i="1"/>
  <c r="G31" i="1"/>
  <c r="J11" i="1"/>
  <c r="K12" i="2"/>
  <c r="G13" i="2" s="1"/>
  <c r="I16" i="1"/>
  <c r="I45" i="1"/>
  <c r="C34" i="1"/>
  <c r="E34" i="1"/>
  <c r="F36" i="1"/>
  <c r="F55" i="1" s="1"/>
  <c r="G34" i="1"/>
  <c r="G36" i="1" s="1"/>
  <c r="G55" i="1" s="1"/>
  <c r="H38" i="1"/>
  <c r="H54" i="1" s="1"/>
  <c r="H57" i="1" s="1"/>
  <c r="D38" i="1"/>
  <c r="I51" i="1"/>
  <c r="I48" i="1"/>
  <c r="H17" i="1"/>
  <c r="F17" i="1"/>
  <c r="D17" i="1"/>
  <c r="G32" i="1"/>
  <c r="E32" i="1"/>
  <c r="C32" i="1"/>
  <c r="I31" i="1" l="1"/>
  <c r="I32" i="1" s="1"/>
  <c r="I34" i="1"/>
  <c r="I36" i="1" s="1"/>
  <c r="J28" i="1"/>
  <c r="J25" i="1"/>
  <c r="J22" i="1"/>
  <c r="J19" i="1"/>
  <c r="I14" i="1"/>
  <c r="I38" i="1"/>
  <c r="I39" i="1" s="1"/>
  <c r="C13" i="2"/>
  <c r="J16" i="1"/>
  <c r="J14" i="1" s="1"/>
  <c r="J48" i="1"/>
  <c r="J45" i="1"/>
  <c r="K11" i="1"/>
  <c r="E38" i="1"/>
  <c r="E42" i="1" s="1"/>
  <c r="E36" i="1"/>
  <c r="E55" i="1" s="1"/>
  <c r="G38" i="1"/>
  <c r="G54" i="1" s="1"/>
  <c r="G57" i="1" s="1"/>
  <c r="C36" i="1"/>
  <c r="C55" i="1" s="1"/>
  <c r="D55" i="1"/>
  <c r="C38" i="1"/>
  <c r="C54" i="1" s="1"/>
  <c r="C57" i="1" s="1"/>
  <c r="D42" i="1"/>
  <c r="D39" i="1"/>
  <c r="D54" i="1"/>
  <c r="D57" i="1" s="1"/>
  <c r="F42" i="1"/>
  <c r="F39" i="1"/>
  <c r="F54" i="1"/>
  <c r="F57" i="1" s="1"/>
  <c r="H42" i="1"/>
  <c r="H39" i="1"/>
  <c r="E54" i="1"/>
  <c r="E57" i="1" s="1"/>
  <c r="J51" i="1"/>
  <c r="K28" i="1" l="1"/>
  <c r="K25" i="1"/>
  <c r="K22" i="1"/>
  <c r="K19" i="1"/>
  <c r="C42" i="1"/>
  <c r="G42" i="1"/>
  <c r="E39" i="1"/>
  <c r="K48" i="1"/>
  <c r="G39" i="1"/>
  <c r="L11" i="1"/>
  <c r="K16" i="1"/>
  <c r="K14" i="1" s="1"/>
  <c r="K45" i="1"/>
  <c r="C39" i="1"/>
  <c r="K51" i="1"/>
  <c r="L25" i="1" l="1"/>
  <c r="L19" i="1"/>
  <c r="L28" i="1"/>
  <c r="L22" i="1"/>
  <c r="L16" i="1"/>
  <c r="L14" i="1" s="1"/>
  <c r="L48" i="1"/>
  <c r="M11" i="1"/>
  <c r="N11" i="1" s="1"/>
  <c r="L45" i="1"/>
  <c r="L51" i="1"/>
  <c r="N25" i="1" l="1"/>
  <c r="N19" i="1"/>
  <c r="N28" i="1"/>
  <c r="N22" i="1"/>
  <c r="M48" i="1"/>
  <c r="M28" i="1"/>
  <c r="M22" i="1"/>
  <c r="M25" i="1"/>
  <c r="M19" i="1"/>
  <c r="M51" i="1"/>
  <c r="M45" i="1"/>
  <c r="M16" i="1"/>
  <c r="M14" i="1" s="1"/>
  <c r="O11" i="1"/>
  <c r="N16" i="1"/>
  <c r="N14" i="1" s="1"/>
  <c r="N48" i="1"/>
  <c r="N45" i="1"/>
  <c r="N51" i="1"/>
  <c r="O28" i="1" l="1"/>
  <c r="O22" i="1"/>
  <c r="O25" i="1"/>
  <c r="O19" i="1"/>
  <c r="O51" i="1"/>
  <c r="P11" i="1"/>
  <c r="O16" i="1"/>
  <c r="O48" i="1"/>
  <c r="O45" i="1"/>
  <c r="P25" i="1" l="1"/>
  <c r="P19" i="1"/>
  <c r="P28" i="1"/>
  <c r="P22" i="1"/>
  <c r="Q11" i="1"/>
  <c r="P16" i="1"/>
  <c r="P48" i="1"/>
  <c r="P45" i="1"/>
  <c r="P51" i="1"/>
  <c r="O14" i="1"/>
  <c r="Q28" i="1" l="1"/>
  <c r="Q22" i="1"/>
  <c r="Q25" i="1"/>
  <c r="Q19" i="1"/>
  <c r="R11" i="1"/>
  <c r="Q16" i="1"/>
  <c r="Q45" i="1"/>
  <c r="Q48" i="1"/>
  <c r="Q51" i="1"/>
  <c r="P14" i="1"/>
  <c r="R25" i="1" l="1"/>
  <c r="R19" i="1"/>
  <c r="R28" i="1"/>
  <c r="R22" i="1"/>
  <c r="R16" i="1"/>
  <c r="R14" i="1" s="1"/>
  <c r="R48" i="1"/>
  <c r="R45" i="1"/>
  <c r="R51" i="1"/>
  <c r="Q14" i="1"/>
  <c r="M34" i="1" l="1"/>
  <c r="M38" i="1" s="1"/>
  <c r="M39" i="1" s="1"/>
  <c r="L34" i="1"/>
  <c r="L36" i="1" s="1"/>
  <c r="N34" i="1"/>
  <c r="N38" i="1" s="1"/>
  <c r="N39" i="1" s="1"/>
  <c r="P34" i="1"/>
  <c r="P36" i="1" s="1"/>
  <c r="R34" i="1"/>
  <c r="R38" i="1" s="1"/>
  <c r="R39" i="1" s="1"/>
  <c r="K34" i="1"/>
  <c r="K36" i="1" s="1"/>
  <c r="Q34" i="1"/>
  <c r="Q38" i="1" s="1"/>
  <c r="Q39" i="1" s="1"/>
  <c r="O34" i="1"/>
  <c r="O38" i="1" s="1"/>
  <c r="O39" i="1" s="1"/>
  <c r="J34" i="1"/>
  <c r="J38" i="1" s="1"/>
  <c r="J39" i="1" s="1"/>
  <c r="J31" i="1"/>
  <c r="J32" i="1" s="1"/>
  <c r="O31" i="1"/>
  <c r="O32" i="1" s="1"/>
  <c r="R31" i="1"/>
  <c r="R32" i="1" s="1"/>
  <c r="N31" i="1"/>
  <c r="N32" i="1" s="1"/>
  <c r="M31" i="1"/>
  <c r="M32" i="1" s="1"/>
  <c r="Q31" i="1"/>
  <c r="Q32" i="1" s="1"/>
  <c r="K31" i="1"/>
  <c r="K32" i="1" s="1"/>
  <c r="P31" i="1"/>
  <c r="P32" i="1" s="1"/>
  <c r="L31" i="1"/>
  <c r="L32" i="1" s="1"/>
  <c r="K38" i="1" l="1"/>
  <c r="K39" i="1" s="1"/>
  <c r="P38" i="1"/>
  <c r="P39" i="1" s="1"/>
  <c r="L38" i="1"/>
  <c r="L39" i="1" s="1"/>
  <c r="J36" i="1"/>
  <c r="Q36" i="1"/>
  <c r="R36" i="1"/>
  <c r="N36" i="1"/>
  <c r="M36" i="1"/>
  <c r="O36" i="1"/>
  <c r="D6" i="2"/>
  <c r="K14" i="2" s="1"/>
  <c r="E5" i="1" s="1"/>
  <c r="R41" i="1"/>
  <c r="R54" i="1" s="1"/>
  <c r="R57" i="1" s="1"/>
  <c r="P41" i="1"/>
  <c r="P54" i="1" s="1"/>
  <c r="P57" i="1" s="1"/>
  <c r="N41" i="1"/>
  <c r="N55" i="1" s="1"/>
  <c r="J41" i="1"/>
  <c r="J55" i="1" s="1"/>
  <c r="Q41" i="1"/>
  <c r="Q54" i="1" s="1"/>
  <c r="Q57" i="1" s="1"/>
  <c r="O41" i="1"/>
  <c r="M41" i="1"/>
  <c r="M54" i="1" s="1"/>
  <c r="M57" i="1" s="1"/>
  <c r="I41" i="1"/>
  <c r="I54" i="1" s="1"/>
  <c r="I57" i="1" s="1"/>
  <c r="K41" i="1" l="1"/>
  <c r="K54" i="1" s="1"/>
  <c r="K57" i="1" s="1"/>
  <c r="I55" i="1"/>
  <c r="I58" i="1"/>
  <c r="M58" i="1"/>
  <c r="Q58" i="1"/>
  <c r="O55" i="1"/>
  <c r="L41" i="1"/>
  <c r="L55" i="1" s="1"/>
  <c r="M55" i="1"/>
  <c r="L54" i="1"/>
  <c r="L57" i="1" s="1"/>
  <c r="L58" i="1" s="1"/>
  <c r="P55" i="1"/>
  <c r="Q55" i="1"/>
  <c r="P58" i="1"/>
  <c r="K58" i="1"/>
  <c r="R58" i="1"/>
  <c r="C60" i="1"/>
  <c r="C61" i="1" s="1"/>
  <c r="K55" i="1"/>
  <c r="O54" i="1"/>
  <c r="O57" i="1" s="1"/>
  <c r="O58" i="1" s="1"/>
  <c r="J54" i="1"/>
  <c r="J57" i="1" s="1"/>
  <c r="J58" i="1" s="1"/>
  <c r="N54" i="1"/>
  <c r="N57" i="1" s="1"/>
  <c r="N58" i="1" s="1"/>
  <c r="R55" i="1"/>
  <c r="S55" i="1" s="1"/>
  <c r="T55" i="1" s="1"/>
  <c r="U55" i="1" s="1"/>
  <c r="V55" i="1" s="1"/>
  <c r="W55" i="1" s="1"/>
  <c r="X55" i="1" s="1"/>
  <c r="Y55" i="1" s="1"/>
  <c r="Z55" i="1" s="1"/>
  <c r="AA55" i="1" s="1"/>
  <c r="AB55" i="1" s="1"/>
  <c r="AC55" i="1" s="1"/>
  <c r="AD55" i="1" s="1"/>
  <c r="AE55" i="1" s="1"/>
  <c r="AF55" i="1" s="1"/>
  <c r="AG55" i="1" s="1"/>
  <c r="AH55" i="1" s="1"/>
  <c r="AI55" i="1" s="1"/>
  <c r="AJ55" i="1" s="1"/>
  <c r="AK55" i="1" s="1"/>
  <c r="AL55" i="1" s="1"/>
  <c r="AM55" i="1" s="1"/>
  <c r="AN55" i="1" s="1"/>
  <c r="AO55" i="1" s="1"/>
  <c r="AP55" i="1" s="1"/>
  <c r="AQ55" i="1" s="1"/>
  <c r="AR55" i="1" s="1"/>
  <c r="AS55" i="1" s="1"/>
  <c r="AT55" i="1" s="1"/>
  <c r="AU55" i="1" s="1"/>
  <c r="AV55" i="1" s="1"/>
  <c r="AW55" i="1" s="1"/>
  <c r="AX55" i="1" s="1"/>
  <c r="AY55" i="1" s="1"/>
  <c r="AZ55" i="1" s="1"/>
  <c r="BA55" i="1" s="1"/>
  <c r="BB55" i="1" s="1"/>
  <c r="BC55" i="1" s="1"/>
  <c r="BD55" i="1" s="1"/>
  <c r="BE55" i="1" s="1"/>
  <c r="BF55" i="1" s="1"/>
  <c r="BG55" i="1" s="1"/>
  <c r="BH55" i="1" s="1"/>
  <c r="BI55" i="1" s="1"/>
  <c r="BJ55" i="1" s="1"/>
  <c r="BK55" i="1" s="1"/>
  <c r="BL55" i="1" s="1"/>
  <c r="BM55" i="1" s="1"/>
  <c r="BN55" i="1" s="1"/>
  <c r="BO55" i="1" s="1"/>
  <c r="BP55" i="1" s="1"/>
  <c r="BQ55" i="1" s="1"/>
  <c r="BR55" i="1" s="1"/>
  <c r="BS55" i="1" s="1"/>
  <c r="BT55" i="1" s="1"/>
  <c r="BU55" i="1" s="1"/>
  <c r="BV55" i="1" s="1"/>
  <c r="BW55" i="1" s="1"/>
  <c r="BX55" i="1" s="1"/>
  <c r="BY55" i="1" s="1"/>
  <c r="BZ55" i="1" s="1"/>
  <c r="CA55" i="1" s="1"/>
  <c r="CB55" i="1" s="1"/>
  <c r="CC55" i="1" s="1"/>
  <c r="CD55" i="1" s="1"/>
  <c r="CE55" i="1" s="1"/>
  <c r="CF55" i="1" s="1"/>
  <c r="CG55" i="1" s="1"/>
  <c r="CH55" i="1" s="1"/>
  <c r="F60" i="1" l="1"/>
  <c r="H63" i="1" s="1"/>
  <c r="H65" i="1" s="1"/>
  <c r="H68" i="1" s="1"/>
  <c r="G63" i="1"/>
  <c r="G65" i="1" s="1"/>
  <c r="G68" i="1" s="1"/>
  <c r="E68" i="1" l="1"/>
  <c r="J6" i="1" l="1"/>
  <c r="N5" i="1" s="1"/>
  <c r="L62" i="1"/>
</calcChain>
</file>

<file path=xl/sharedStrings.xml><?xml version="1.0" encoding="utf-8"?>
<sst xmlns="http://schemas.openxmlformats.org/spreadsheetml/2006/main" count="71" uniqueCount="57">
  <si>
    <t xml:space="preserve">Valuation Assumptions: </t>
  </si>
  <si>
    <t>WACC</t>
  </si>
  <si>
    <t>Current price   :</t>
  </si>
  <si>
    <t xml:space="preserve">Upside/Downside : </t>
  </si>
  <si>
    <t>Terminal rate</t>
  </si>
  <si>
    <t xml:space="preserve">Implied price   : </t>
  </si>
  <si>
    <t>Income Statement</t>
  </si>
  <si>
    <t>Revenue</t>
  </si>
  <si>
    <t>% growth</t>
  </si>
  <si>
    <t>COGS</t>
  </si>
  <si>
    <t>Gross Profit</t>
  </si>
  <si>
    <t>% Gross Margin</t>
  </si>
  <si>
    <t>R&amp;D</t>
  </si>
  <si>
    <t xml:space="preserve">Other </t>
  </si>
  <si>
    <t>Opex</t>
  </si>
  <si>
    <t>Operating income</t>
  </si>
  <si>
    <t>Pre-tax income</t>
  </si>
  <si>
    <t>EBIT</t>
  </si>
  <si>
    <t>% Revenue</t>
  </si>
  <si>
    <t>Taxes</t>
  </si>
  <si>
    <t>% EBIT</t>
  </si>
  <si>
    <t>Cash Flow Statement</t>
  </si>
  <si>
    <t>D&amp;A</t>
  </si>
  <si>
    <t>CapEx</t>
  </si>
  <si>
    <t>change NWC</t>
  </si>
  <si>
    <t>EBIAT</t>
  </si>
  <si>
    <t>Net income</t>
  </si>
  <si>
    <t>FCF</t>
  </si>
  <si>
    <t>Present value FCF</t>
  </si>
  <si>
    <t>TV</t>
  </si>
  <si>
    <t>DNI</t>
  </si>
  <si>
    <t>PV of TV</t>
  </si>
  <si>
    <t>Enterprise Value</t>
  </si>
  <si>
    <t>DCF</t>
  </si>
  <si>
    <t>Cash</t>
  </si>
  <si>
    <t>Debt</t>
  </si>
  <si>
    <t>Equity Value</t>
  </si>
  <si>
    <t>Shares</t>
  </si>
  <si>
    <t xml:space="preserve">Current market cap </t>
  </si>
  <si>
    <t>Share Price</t>
  </si>
  <si>
    <t>Mean:</t>
  </si>
  <si>
    <t>SG&amp;A</t>
  </si>
  <si>
    <t xml:space="preserve">Interest </t>
  </si>
  <si>
    <t xml:space="preserve">Assumpions: </t>
  </si>
  <si>
    <t>Tax Rate</t>
  </si>
  <si>
    <t>Risk Free Rate</t>
  </si>
  <si>
    <t>Beta</t>
  </si>
  <si>
    <t>Market Risk Premium</t>
  </si>
  <si>
    <t>D+E</t>
  </si>
  <si>
    <t>% Equity</t>
  </si>
  <si>
    <t>% Debt</t>
  </si>
  <si>
    <t>Cost of Equity</t>
  </si>
  <si>
    <t>Cost of Debt</t>
  </si>
  <si>
    <t>Coherent Corp. DCF</t>
  </si>
  <si>
    <t>Analysts projections</t>
  </si>
  <si>
    <t xml:space="preserve">                                             Terminal Growth Rate</t>
  </si>
  <si>
    <t>Non covered , bearish 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</si>
</sst>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8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rgb="FF00B05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theme="1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theme="1"/>
      </right>
      <top/>
      <bottom/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theme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2">
    <xf numFmtId="0" fontId="0" fillId="0" borderId="0" xfId="0"/>
    <xf numFmtId="0" fontId="3" fillId="2" borderId="0" xfId="0" applyFont="1" applyFill="1"/>
    <xf numFmtId="0" fontId="0" fillId="2" borderId="0" xfId="0" applyFill="1"/>
    <xf numFmtId="0" fontId="3" fillId="2" borderId="1" xfId="0" applyFont="1" applyFill="1" applyBorder="1"/>
    <xf numFmtId="0" fontId="4" fillId="2" borderId="1" xfId="0" applyFont="1" applyFill="1" applyBorder="1"/>
    <xf numFmtId="0" fontId="5" fillId="2" borderId="0" xfId="0" applyFont="1" applyFill="1"/>
    <xf numFmtId="0" fontId="6" fillId="2" borderId="0" xfId="0" applyFont="1" applyFill="1"/>
    <xf numFmtId="0" fontId="3" fillId="2" borderId="0" xfId="0" applyFont="1" applyFill="1" applyAlignment="1">
      <alignment horizontal="left"/>
    </xf>
    <xf numFmtId="164" fontId="3" fillId="2" borderId="2" xfId="0" applyNumberFormat="1" applyFont="1" applyFill="1" applyBorder="1" applyAlignment="1">
      <alignment horizontal="center"/>
    </xf>
    <xf numFmtId="164" fontId="3" fillId="2" borderId="0" xfId="0" applyNumberFormat="1" applyFont="1" applyFill="1" applyAlignment="1">
      <alignment horizontal="center"/>
    </xf>
    <xf numFmtId="0" fontId="6" fillId="3" borderId="0" xfId="0" applyFont="1" applyFill="1"/>
    <xf numFmtId="0" fontId="6" fillId="4" borderId="0" xfId="0" applyFont="1" applyFill="1"/>
    <xf numFmtId="3" fontId="3" fillId="2" borderId="0" xfId="0" applyNumberFormat="1" applyFont="1" applyFill="1"/>
    <xf numFmtId="0" fontId="3" fillId="2" borderId="4" xfId="0" applyFont="1" applyFill="1" applyBorder="1"/>
    <xf numFmtId="0" fontId="7" fillId="2" borderId="0" xfId="0" applyFont="1" applyFill="1"/>
    <xf numFmtId="164" fontId="7" fillId="2" borderId="0" xfId="1" applyNumberFormat="1" applyFont="1" applyFill="1"/>
    <xf numFmtId="0" fontId="3" fillId="2" borderId="3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1" fontId="3" fillId="2" borderId="0" xfId="0" applyNumberFormat="1" applyFont="1" applyFill="1"/>
    <xf numFmtId="164" fontId="3" fillId="2" borderId="0" xfId="1" applyNumberFormat="1" applyFont="1" applyFill="1"/>
    <xf numFmtId="10" fontId="3" fillId="2" borderId="0" xfId="1" applyNumberFormat="1" applyFont="1" applyFill="1"/>
    <xf numFmtId="0" fontId="0" fillId="2" borderId="4" xfId="0" applyFill="1" applyBorder="1"/>
    <xf numFmtId="3" fontId="0" fillId="2" borderId="0" xfId="0" applyNumberFormat="1" applyFill="1"/>
    <xf numFmtId="3" fontId="3" fillId="0" borderId="0" xfId="0" applyNumberFormat="1" applyFont="1"/>
    <xf numFmtId="0" fontId="3" fillId="4" borderId="0" xfId="0" applyFont="1" applyFill="1"/>
    <xf numFmtId="0" fontId="3" fillId="2" borderId="8" xfId="0" applyFont="1" applyFill="1" applyBorder="1"/>
    <xf numFmtId="0" fontId="3" fillId="2" borderId="9" xfId="0" applyFont="1" applyFill="1" applyBorder="1"/>
    <xf numFmtId="1" fontId="0" fillId="2" borderId="0" xfId="0" applyNumberFormat="1" applyFill="1"/>
    <xf numFmtId="1" fontId="0" fillId="2" borderId="5" xfId="0" applyNumberFormat="1" applyFill="1" applyBorder="1"/>
    <xf numFmtId="0" fontId="0" fillId="5" borderId="0" xfId="0" applyFill="1"/>
    <xf numFmtId="0" fontId="3" fillId="2" borderId="0" xfId="0" quotePrefix="1" applyFont="1" applyFill="1"/>
    <xf numFmtId="0" fontId="3" fillId="2" borderId="1" xfId="0" quotePrefix="1" applyFont="1" applyFill="1" applyBorder="1"/>
    <xf numFmtId="3" fontId="6" fillId="2" borderId="0" xfId="0" applyNumberFormat="1" applyFont="1" applyFill="1"/>
    <xf numFmtId="3" fontId="2" fillId="2" borderId="0" xfId="0" applyNumberFormat="1" applyFont="1" applyFill="1"/>
    <xf numFmtId="0" fontId="0" fillId="2" borderId="7" xfId="0" applyFill="1" applyBorder="1"/>
    <xf numFmtId="0" fontId="3" fillId="2" borderId="10" xfId="0" applyFont="1" applyFill="1" applyBorder="1"/>
    <xf numFmtId="2" fontId="6" fillId="2" borderId="0" xfId="0" applyNumberFormat="1" applyFont="1" applyFill="1"/>
    <xf numFmtId="2" fontId="2" fillId="2" borderId="0" xfId="0" applyNumberFormat="1" applyFont="1" applyFill="1"/>
    <xf numFmtId="3" fontId="0" fillId="0" borderId="0" xfId="0" applyNumberFormat="1"/>
    <xf numFmtId="3" fontId="0" fillId="2" borderId="1" xfId="0" applyNumberFormat="1" applyFill="1" applyBorder="1"/>
    <xf numFmtId="0" fontId="10" fillId="2" borderId="0" xfId="0" applyFont="1" applyFill="1"/>
    <xf numFmtId="0" fontId="0" fillId="2" borderId="1" xfId="0" applyFill="1" applyBorder="1"/>
    <xf numFmtId="0" fontId="0" fillId="2" borderId="6" xfId="0" applyFill="1" applyBorder="1"/>
    <xf numFmtId="0" fontId="0" fillId="6" borderId="0" xfId="0" applyFill="1"/>
    <xf numFmtId="164" fontId="0" fillId="7" borderId="0" xfId="0" applyNumberFormat="1" applyFill="1" applyAlignment="1">
      <alignment horizontal="right"/>
    </xf>
    <xf numFmtId="0" fontId="0" fillId="7" borderId="0" xfId="0" applyFill="1" applyAlignment="1">
      <alignment horizontal="right"/>
    </xf>
    <xf numFmtId="9" fontId="0" fillId="2" borderId="0" xfId="1" applyFont="1" applyFill="1"/>
    <xf numFmtId="164" fontId="0" fillId="2" borderId="0" xfId="0" applyNumberFormat="1" applyFill="1" applyAlignment="1">
      <alignment horizontal="right"/>
    </xf>
    <xf numFmtId="164" fontId="0" fillId="2" borderId="0" xfId="0" applyNumberFormat="1" applyFill="1"/>
    <xf numFmtId="164" fontId="0" fillId="2" borderId="2" xfId="0" applyNumberFormat="1" applyFill="1" applyBorder="1" applyAlignment="1">
      <alignment horizontal="right"/>
    </xf>
    <xf numFmtId="0" fontId="2" fillId="2" borderId="11" xfId="0" applyFont="1" applyFill="1" applyBorder="1"/>
    <xf numFmtId="0" fontId="0" fillId="2" borderId="12" xfId="0" applyFill="1" applyBorder="1"/>
    <xf numFmtId="10" fontId="2" fillId="2" borderId="13" xfId="0" applyNumberFormat="1" applyFont="1" applyFill="1" applyBorder="1"/>
    <xf numFmtId="0" fontId="0" fillId="8" borderId="0" xfId="0" applyFill="1"/>
    <xf numFmtId="1" fontId="3" fillId="8" borderId="0" xfId="0" applyNumberFormat="1" applyFont="1" applyFill="1"/>
    <xf numFmtId="0" fontId="6" fillId="4" borderId="4" xfId="0" applyFont="1" applyFill="1" applyBorder="1"/>
    <xf numFmtId="0" fontId="3" fillId="2" borderId="0" xfId="0" applyFont="1" applyFill="1" applyBorder="1"/>
    <xf numFmtId="0" fontId="3" fillId="9" borderId="4" xfId="0" applyFont="1" applyFill="1" applyBorder="1"/>
    <xf numFmtId="0" fontId="3" fillId="9" borderId="0" xfId="0" applyFont="1" applyFill="1"/>
    <xf numFmtId="164" fontId="8" fillId="9" borderId="0" xfId="1" applyNumberFormat="1" applyFont="1" applyFill="1" applyBorder="1"/>
    <xf numFmtId="1" fontId="3" fillId="9" borderId="4" xfId="0" applyNumberFormat="1" applyFont="1" applyFill="1" applyBorder="1"/>
    <xf numFmtId="1" fontId="3" fillId="9" borderId="0" xfId="0" applyNumberFormat="1" applyFont="1" applyFill="1"/>
    <xf numFmtId="3" fontId="3" fillId="9" borderId="4" xfId="0" applyNumberFormat="1" applyFont="1" applyFill="1" applyBorder="1"/>
    <xf numFmtId="164" fontId="3" fillId="9" borderId="4" xfId="0" applyNumberFormat="1" applyFont="1" applyFill="1" applyBorder="1"/>
    <xf numFmtId="164" fontId="7" fillId="9" borderId="4" xfId="1" applyNumberFormat="1" applyFont="1" applyFill="1" applyBorder="1"/>
    <xf numFmtId="0" fontId="0" fillId="9" borderId="4" xfId="0" applyFill="1" applyBorder="1"/>
    <xf numFmtId="0" fontId="0" fillId="9" borderId="0" xfId="0" applyFill="1"/>
    <xf numFmtId="164" fontId="7" fillId="9" borderId="0" xfId="1" applyNumberFormat="1" applyFont="1" applyFill="1" applyBorder="1"/>
    <xf numFmtId="0" fontId="3" fillId="10" borderId="0" xfId="0" applyFont="1" applyFill="1"/>
    <xf numFmtId="10" fontId="8" fillId="9" borderId="0" xfId="0" applyNumberFormat="1" applyFont="1" applyFill="1" applyBorder="1"/>
    <xf numFmtId="0" fontId="3" fillId="9" borderId="0" xfId="0" applyFont="1" applyFill="1" applyBorder="1"/>
    <xf numFmtId="1" fontId="3" fillId="9" borderId="0" xfId="0" applyNumberFormat="1" applyFont="1" applyFill="1" applyBorder="1"/>
    <xf numFmtId="3" fontId="3" fillId="9" borderId="0" xfId="0" applyNumberFormat="1" applyFont="1" applyFill="1" applyBorder="1"/>
    <xf numFmtId="164" fontId="3" fillId="9" borderId="0" xfId="0" applyNumberFormat="1" applyFont="1" applyFill="1" applyBorder="1"/>
    <xf numFmtId="0" fontId="0" fillId="9" borderId="0" xfId="0" applyFill="1" applyBorder="1"/>
    <xf numFmtId="0" fontId="3" fillId="9" borderId="1" xfId="0" applyFont="1" applyFill="1" applyBorder="1"/>
    <xf numFmtId="0" fontId="6" fillId="3" borderId="0" xfId="0" applyFont="1" applyFill="1" applyBorder="1"/>
    <xf numFmtId="164" fontId="8" fillId="9" borderId="4" xfId="1" applyNumberFormat="1" applyFont="1" applyFill="1" applyBorder="1"/>
    <xf numFmtId="1" fontId="3" fillId="9" borderId="14" xfId="0" applyNumberFormat="1" applyFont="1" applyFill="1" applyBorder="1"/>
    <xf numFmtId="10" fontId="8" fillId="9" borderId="4" xfId="0" applyNumberFormat="1" applyFont="1" applyFill="1" applyBorder="1"/>
    <xf numFmtId="0" fontId="6" fillId="3" borderId="4" xfId="0" applyFont="1" applyFill="1" applyBorder="1"/>
    <xf numFmtId="1" fontId="3" fillId="9" borderId="15" xfId="0" applyNumberFormat="1" applyFont="1" applyFill="1" applyBorder="1"/>
    <xf numFmtId="0" fontId="0" fillId="2" borderId="0" xfId="0" applyFill="1" applyBorder="1"/>
    <xf numFmtId="0" fontId="3" fillId="10" borderId="0" xfId="0" applyFont="1" applyFill="1" applyAlignment="1">
      <alignment horizontal="center"/>
    </xf>
    <xf numFmtId="2" fontId="3" fillId="2" borderId="0" xfId="0" applyNumberFormat="1" applyFont="1" applyFill="1"/>
    <xf numFmtId="164" fontId="0" fillId="8" borderId="0" xfId="0" applyNumberFormat="1" applyFill="1"/>
    <xf numFmtId="164" fontId="0" fillId="8" borderId="0" xfId="0" applyNumberFormat="1" applyFill="1" applyAlignment="1">
      <alignment horizontal="left"/>
    </xf>
    <xf numFmtId="2" fontId="0" fillId="2" borderId="0" xfId="0" applyNumberFormat="1" applyFill="1"/>
    <xf numFmtId="2" fontId="0" fillId="3" borderId="0" xfId="0" applyNumberFormat="1" applyFill="1"/>
    <xf numFmtId="164" fontId="3" fillId="8" borderId="0" xfId="1" applyNumberFormat="1" applyFont="1" applyFill="1" applyBorder="1" applyAlignment="1">
      <alignment horizontal="left"/>
    </xf>
    <xf numFmtId="2" fontId="12" fillId="11" borderId="0" xfId="0" applyNumberFormat="1" applyFont="1" applyFill="1"/>
    <xf numFmtId="164" fontId="0" fillId="8" borderId="0" xfId="1" applyNumberFormat="1" applyFont="1" applyFill="1" applyBorder="1" applyAlignment="1">
      <alignment horizontal="left"/>
    </xf>
    <xf numFmtId="1" fontId="3" fillId="2" borderId="1" xfId="0" applyNumberFormat="1" applyFont="1" applyFill="1" applyBorder="1"/>
    <xf numFmtId="0" fontId="3" fillId="12" borderId="4" xfId="0" applyFont="1" applyFill="1" applyBorder="1"/>
    <xf numFmtId="0" fontId="3" fillId="12" borderId="0" xfId="0" applyFont="1" applyFill="1" applyBorder="1"/>
    <xf numFmtId="1" fontId="3" fillId="12" borderId="0" xfId="0" applyNumberFormat="1" applyFont="1" applyFill="1" applyBorder="1"/>
    <xf numFmtId="0" fontId="0" fillId="12" borderId="0" xfId="0" applyFill="1" applyBorder="1"/>
    <xf numFmtId="0" fontId="3" fillId="12" borderId="14" xfId="0" applyFont="1" applyFill="1" applyBorder="1"/>
    <xf numFmtId="0" fontId="3" fillId="12" borderId="1" xfId="0" applyFont="1" applyFill="1" applyBorder="1"/>
    <xf numFmtId="1" fontId="3" fillId="12" borderId="1" xfId="0" applyNumberFormat="1" applyFont="1" applyFill="1" applyBorder="1"/>
    <xf numFmtId="1" fontId="3" fillId="12" borderId="4" xfId="0" applyNumberFormat="1" applyFont="1" applyFill="1" applyBorder="1"/>
    <xf numFmtId="164" fontId="3" fillId="12" borderId="4" xfId="1" applyNumberFormat="1" applyFont="1" applyFill="1" applyBorder="1"/>
    <xf numFmtId="164" fontId="3" fillId="12" borderId="0" xfId="1" applyNumberFormat="1" applyFont="1" applyFill="1" applyBorder="1"/>
    <xf numFmtId="3" fontId="3" fillId="12" borderId="4" xfId="0" applyNumberFormat="1" applyFont="1" applyFill="1" applyBorder="1"/>
    <xf numFmtId="3" fontId="3" fillId="12" borderId="0" xfId="0" applyNumberFormat="1" applyFont="1" applyFill="1" applyBorder="1"/>
    <xf numFmtId="164" fontId="3" fillId="12" borderId="4" xfId="0" applyNumberFormat="1" applyFont="1" applyFill="1" applyBorder="1"/>
    <xf numFmtId="164" fontId="3" fillId="12" borderId="0" xfId="0" applyNumberFormat="1" applyFont="1" applyFill="1" applyBorder="1"/>
    <xf numFmtId="164" fontId="7" fillId="12" borderId="4" xfId="1" applyNumberFormat="1" applyFont="1" applyFill="1" applyBorder="1"/>
    <xf numFmtId="164" fontId="7" fillId="12" borderId="0" xfId="1" applyNumberFormat="1" applyFont="1" applyFill="1" applyBorder="1"/>
    <xf numFmtId="0" fontId="0" fillId="12" borderId="4" xfId="0" applyFill="1" applyBorder="1"/>
    <xf numFmtId="1" fontId="3" fillId="12" borderId="14" xfId="0" applyNumberFormat="1" applyFont="1" applyFill="1" applyBorder="1"/>
    <xf numFmtId="1" fontId="3" fillId="12" borderId="0" xfId="0" applyNumberFormat="1" applyFont="1" applyFill="1"/>
    <xf numFmtId="0" fontId="3" fillId="12" borderId="0" xfId="0" applyFont="1" applyFill="1"/>
    <xf numFmtId="0" fontId="0" fillId="12" borderId="0" xfId="0" applyFill="1"/>
    <xf numFmtId="0" fontId="7" fillId="13" borderId="0" xfId="0" applyFont="1" applyFill="1"/>
    <xf numFmtId="164" fontId="7" fillId="13" borderId="0" xfId="1" applyNumberFormat="1" applyFont="1" applyFill="1"/>
    <xf numFmtId="10" fontId="7" fillId="12" borderId="4" xfId="0" applyNumberFormat="1" applyFont="1" applyFill="1" applyBorder="1"/>
    <xf numFmtId="10" fontId="7" fillId="12" borderId="0" xfId="0" applyNumberFormat="1" applyFont="1" applyFill="1" applyBorder="1"/>
    <xf numFmtId="164" fontId="3" fillId="13" borderId="0" xfId="1" applyNumberFormat="1" applyFont="1" applyFill="1"/>
    <xf numFmtId="0" fontId="7" fillId="8" borderId="0" xfId="0" applyFont="1" applyFill="1"/>
    <xf numFmtId="164" fontId="7" fillId="8" borderId="0" xfId="1" applyNumberFormat="1" applyFont="1" applyFill="1"/>
    <xf numFmtId="164" fontId="13" fillId="9" borderId="4" xfId="1" applyNumberFormat="1" applyFont="1" applyFill="1" applyBorder="1"/>
    <xf numFmtId="164" fontId="13" fillId="9" borderId="0" xfId="1" applyNumberFormat="1" applyFont="1" applyFill="1" applyBorder="1"/>
    <xf numFmtId="164" fontId="11" fillId="9" borderId="4" xfId="1" applyNumberFormat="1" applyFont="1" applyFill="1" applyBorder="1"/>
    <xf numFmtId="164" fontId="11" fillId="9" borderId="0" xfId="1" applyNumberFormat="1" applyFont="1" applyFill="1" applyBorder="1"/>
    <xf numFmtId="10" fontId="9" fillId="9" borderId="4" xfId="0" applyNumberFormat="1" applyFont="1" applyFill="1" applyBorder="1"/>
    <xf numFmtId="10" fontId="9" fillId="9" borderId="0" xfId="0" applyNumberFormat="1" applyFont="1" applyFill="1" applyBorder="1"/>
    <xf numFmtId="164" fontId="9" fillId="9" borderId="4" xfId="1" applyNumberFormat="1" applyFont="1" applyFill="1" applyBorder="1"/>
    <xf numFmtId="164" fontId="9" fillId="9" borderId="0" xfId="1" applyNumberFormat="1" applyFont="1" applyFill="1" applyBorder="1"/>
    <xf numFmtId="164" fontId="11" fillId="9" borderId="4" xfId="0" applyNumberFormat="1" applyFont="1" applyFill="1" applyBorder="1"/>
    <xf numFmtId="164" fontId="11" fillId="9" borderId="0" xfId="0" applyNumberFormat="1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84064-8197-4774-A1FA-A1F3B33925A7}">
  <dimension ref="A1:CH69"/>
  <sheetViews>
    <sheetView tabSelected="1" zoomScaleNormal="100" workbookViewId="0">
      <selection activeCell="I8" sqref="I8"/>
    </sheetView>
  </sheetViews>
  <sheetFormatPr defaultRowHeight="15" x14ac:dyDescent="0.25"/>
  <cols>
    <col min="1" max="6" width="9.140625" style="2"/>
    <col min="7" max="7" width="10.140625" style="2" bestFit="1" customWidth="1"/>
    <col min="8" max="8" width="10.42578125" style="2" customWidth="1"/>
    <col min="9" max="11" width="9.140625" style="2"/>
    <col min="12" max="12" width="9.140625" style="83"/>
    <col min="13" max="17" width="9.140625" style="2"/>
    <col min="18" max="18" width="10.7109375" style="2" customWidth="1"/>
    <col min="19" max="16384" width="9.140625" style="2"/>
  </cols>
  <sheetData>
    <row r="1" spans="1:18" s="54" customForma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57"/>
      <c r="M1" s="1"/>
      <c r="N1" s="1"/>
      <c r="O1" s="1"/>
      <c r="P1" s="1"/>
      <c r="Q1" s="1"/>
      <c r="R1" s="2"/>
    </row>
    <row r="2" spans="1:18" s="54" customFormat="1" ht="23.25" x14ac:dyDescent="0.35">
      <c r="A2" s="3"/>
      <c r="B2" s="4" t="s">
        <v>53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42"/>
    </row>
    <row r="3" spans="1:18" s="54" customFormat="1" ht="21" x14ac:dyDescent="0.35">
      <c r="A3" s="1"/>
      <c r="B3" s="5"/>
      <c r="C3" s="1"/>
      <c r="D3" s="1"/>
      <c r="E3" s="1"/>
      <c r="F3" s="1"/>
      <c r="G3" s="1"/>
      <c r="H3" s="1"/>
      <c r="I3" s="1"/>
      <c r="J3" s="1"/>
      <c r="K3" s="1"/>
      <c r="L3" s="57"/>
      <c r="M3" s="1"/>
      <c r="N3" s="1"/>
      <c r="O3" s="1"/>
      <c r="P3" s="1"/>
      <c r="Q3" s="1"/>
      <c r="R3" s="2"/>
    </row>
    <row r="4" spans="1:18" s="54" customFormat="1" x14ac:dyDescent="0.25">
      <c r="A4" s="1"/>
      <c r="B4" s="6" t="s">
        <v>0</v>
      </c>
      <c r="C4" s="1"/>
      <c r="D4" s="1"/>
      <c r="E4" s="1"/>
      <c r="F4" s="1"/>
      <c r="G4" s="1"/>
      <c r="H4" s="1"/>
      <c r="I4" s="1"/>
      <c r="J4" s="1"/>
      <c r="K4" s="1"/>
      <c r="L4" s="57"/>
      <c r="M4" s="1"/>
      <c r="N4" s="1"/>
      <c r="O4" s="1"/>
      <c r="P4" s="59" t="s">
        <v>54</v>
      </c>
      <c r="Q4" s="67"/>
      <c r="R4" s="67"/>
    </row>
    <row r="5" spans="1:18" s="54" customFormat="1" x14ac:dyDescent="0.25">
      <c r="A5" s="1"/>
      <c r="B5" s="1"/>
      <c r="C5" s="7" t="s">
        <v>1</v>
      </c>
      <c r="D5" s="1"/>
      <c r="E5" s="8">
        <f>WACC!K14</f>
        <v>0.11087565351190516</v>
      </c>
      <c r="F5" s="2"/>
      <c r="G5" s="1"/>
      <c r="H5" s="1" t="s">
        <v>2</v>
      </c>
      <c r="I5" s="1"/>
      <c r="J5" s="7">
        <v>34.08</v>
      </c>
      <c r="K5" s="1"/>
      <c r="L5" s="57" t="s">
        <v>3</v>
      </c>
      <c r="M5" s="1"/>
      <c r="N5" s="7">
        <f>(J6/J5)-1</f>
        <v>0.49030363970246382</v>
      </c>
      <c r="O5" s="1"/>
      <c r="P5" s="113" t="s">
        <v>56</v>
      </c>
      <c r="Q5" s="114"/>
      <c r="R5" s="114"/>
    </row>
    <row r="6" spans="1:18" s="54" customFormat="1" x14ac:dyDescent="0.25">
      <c r="A6" s="1"/>
      <c r="B6" s="1"/>
      <c r="C6" s="7" t="s">
        <v>4</v>
      </c>
      <c r="D6" s="1"/>
      <c r="E6" s="8">
        <v>-0.01</v>
      </c>
      <c r="F6" s="2"/>
      <c r="G6" s="1"/>
      <c r="H6" s="1" t="s">
        <v>5</v>
      </c>
      <c r="I6" s="1"/>
      <c r="J6" s="7">
        <f>E68</f>
        <v>50.789548041059966</v>
      </c>
      <c r="K6" s="1"/>
      <c r="L6" s="57"/>
      <c r="M6" s="1"/>
      <c r="N6" s="1"/>
      <c r="O6" s="1"/>
      <c r="P6" s="1"/>
      <c r="Q6" s="1"/>
      <c r="R6" s="2"/>
    </row>
    <row r="7" spans="1:18" s="54" customFormat="1" x14ac:dyDescent="0.25">
      <c r="A7" s="1"/>
      <c r="B7" s="1"/>
      <c r="C7" s="1"/>
      <c r="D7" s="1"/>
      <c r="E7" s="9"/>
      <c r="F7" s="1"/>
      <c r="G7" s="1"/>
      <c r="H7" s="1"/>
      <c r="I7" s="1"/>
      <c r="J7" s="1"/>
      <c r="K7" s="1"/>
      <c r="L7" s="57"/>
      <c r="M7" s="2"/>
      <c r="N7" s="1"/>
      <c r="O7" s="1"/>
      <c r="P7" s="1"/>
      <c r="Q7" s="1"/>
      <c r="R7" s="2"/>
    </row>
    <row r="8" spans="1:18" s="54" customFormat="1" x14ac:dyDescent="0.25">
      <c r="A8" s="1"/>
      <c r="B8" s="1"/>
      <c r="C8" s="1"/>
      <c r="D8" s="1"/>
      <c r="E8" s="9"/>
      <c r="F8" s="1"/>
      <c r="G8" s="1"/>
      <c r="H8" s="1"/>
      <c r="I8" s="1"/>
      <c r="J8" s="1"/>
      <c r="K8" s="1"/>
      <c r="L8" s="57"/>
      <c r="M8" s="1"/>
      <c r="N8" s="1"/>
      <c r="O8" s="1"/>
      <c r="P8" s="1"/>
      <c r="Q8" s="1"/>
      <c r="R8" s="2"/>
    </row>
    <row r="9" spans="1:18" s="54" customFormat="1" x14ac:dyDescent="0.25">
      <c r="A9" s="1"/>
      <c r="B9" s="1"/>
      <c r="C9" s="1"/>
      <c r="D9" s="1"/>
      <c r="E9" s="1"/>
      <c r="F9" s="1"/>
      <c r="G9" s="1"/>
      <c r="H9" s="1"/>
      <c r="I9" s="1">
        <v>1</v>
      </c>
      <c r="J9" s="1">
        <f>I9+1</f>
        <v>2</v>
      </c>
      <c r="K9" s="1">
        <f t="shared" ref="K9:R9" si="0">J9+1</f>
        <v>3</v>
      </c>
      <c r="L9" s="57">
        <f t="shared" si="0"/>
        <v>4</v>
      </c>
      <c r="M9" s="1">
        <f t="shared" si="0"/>
        <v>5</v>
      </c>
      <c r="N9" s="1">
        <f t="shared" si="0"/>
        <v>6</v>
      </c>
      <c r="O9" s="1">
        <f t="shared" si="0"/>
        <v>7</v>
      </c>
      <c r="P9" s="1">
        <f t="shared" si="0"/>
        <v>8</v>
      </c>
      <c r="Q9" s="1">
        <f t="shared" si="0"/>
        <v>9</v>
      </c>
      <c r="R9" s="1">
        <f t="shared" si="0"/>
        <v>10</v>
      </c>
    </row>
    <row r="10" spans="1:18" s="54" customFormat="1" x14ac:dyDescent="0.25">
      <c r="A10" s="1"/>
      <c r="B10" s="10" t="s">
        <v>6</v>
      </c>
      <c r="C10" s="10">
        <v>2017</v>
      </c>
      <c r="D10" s="10">
        <v>2018</v>
      </c>
      <c r="E10" s="10">
        <v>2019</v>
      </c>
      <c r="F10" s="11">
        <v>2020</v>
      </c>
      <c r="G10" s="10">
        <v>2021</v>
      </c>
      <c r="H10" s="10">
        <v>2022</v>
      </c>
      <c r="I10" s="56">
        <v>2023</v>
      </c>
      <c r="J10" s="11">
        <v>2024</v>
      </c>
      <c r="K10" s="11">
        <v>2025</v>
      </c>
      <c r="L10" s="56">
        <v>2026</v>
      </c>
      <c r="M10" s="11">
        <v>2027</v>
      </c>
      <c r="N10" s="11">
        <v>2028</v>
      </c>
      <c r="O10" s="11">
        <v>2029</v>
      </c>
      <c r="P10" s="11">
        <v>2030</v>
      </c>
      <c r="Q10" s="11">
        <v>2031</v>
      </c>
      <c r="R10" s="11">
        <v>2032</v>
      </c>
    </row>
    <row r="11" spans="1:18" s="54" customFormat="1" x14ac:dyDescent="0.25">
      <c r="A11" s="1"/>
      <c r="B11" s="1" t="s">
        <v>7</v>
      </c>
      <c r="C11" s="12">
        <v>972046</v>
      </c>
      <c r="D11" s="12">
        <v>1158794</v>
      </c>
      <c r="E11" s="12">
        <v>1362496</v>
      </c>
      <c r="F11" s="12">
        <v>2380071</v>
      </c>
      <c r="G11" s="12">
        <v>3105891</v>
      </c>
      <c r="H11" s="12">
        <v>3316616</v>
      </c>
      <c r="I11" s="58">
        <f>H11*(1+I12)</f>
        <v>5400000</v>
      </c>
      <c r="J11" s="71">
        <f>I11*(1+J12)</f>
        <v>5740200</v>
      </c>
      <c r="K11" s="71">
        <f t="shared" ref="K11:R11" si="1">J11*(1+K12)</f>
        <v>6233857.2000000002</v>
      </c>
      <c r="L11" s="94">
        <f t="shared" si="1"/>
        <v>6645291.775200001</v>
      </c>
      <c r="M11" s="95">
        <f t="shared" si="1"/>
        <v>7083881.0323632015</v>
      </c>
      <c r="N11" s="95">
        <f t="shared" si="1"/>
        <v>7551417.1804991728</v>
      </c>
      <c r="O11" s="95">
        <f t="shared" si="1"/>
        <v>8049810.7144121183</v>
      </c>
      <c r="P11" s="95">
        <f t="shared" si="1"/>
        <v>8581098.2215633187</v>
      </c>
      <c r="Q11" s="95">
        <f t="shared" si="1"/>
        <v>9147450.7041864991</v>
      </c>
      <c r="R11" s="96">
        <f t="shared" si="1"/>
        <v>9751182.4506628085</v>
      </c>
    </row>
    <row r="12" spans="1:18" s="54" customFormat="1" x14ac:dyDescent="0.25">
      <c r="A12" s="1"/>
      <c r="B12" s="115" t="s">
        <v>8</v>
      </c>
      <c r="C12" s="116"/>
      <c r="D12" s="116">
        <f>(D11/C11)-1</f>
        <v>0.19211847998963005</v>
      </c>
      <c r="E12" s="116">
        <f>(E11/D11)-1</f>
        <v>0.17578793124576064</v>
      </c>
      <c r="F12" s="116">
        <f>(F11/E11)-1</f>
        <v>0.74684622927333355</v>
      </c>
      <c r="G12" s="116">
        <f>(G11/F11)-1</f>
        <v>0.30495728908927511</v>
      </c>
      <c r="H12" s="116">
        <f>(H11/G11)-1</f>
        <v>6.7846875502070025E-2</v>
      </c>
      <c r="I12" s="78">
        <v>0.62816557599673883</v>
      </c>
      <c r="J12" s="60">
        <v>6.3E-2</v>
      </c>
      <c r="K12" s="60">
        <v>8.5999999999999993E-2</v>
      </c>
      <c r="L12" s="108">
        <v>6.6000000000000003E-2</v>
      </c>
      <c r="M12" s="109">
        <v>6.6000000000000003E-2</v>
      </c>
      <c r="N12" s="109">
        <v>6.6000000000000003E-2</v>
      </c>
      <c r="O12" s="109">
        <v>6.6000000000000003E-2</v>
      </c>
      <c r="P12" s="109">
        <v>6.6000000000000003E-2</v>
      </c>
      <c r="Q12" s="109">
        <v>6.6000000000000003E-2</v>
      </c>
      <c r="R12" s="109">
        <v>6.6000000000000003E-2</v>
      </c>
    </row>
    <row r="13" spans="1:18" s="54" customFormat="1" x14ac:dyDescent="0.25">
      <c r="A13" s="1"/>
      <c r="B13" s="6"/>
      <c r="C13" s="1"/>
      <c r="D13" s="1"/>
      <c r="E13" s="1"/>
      <c r="F13" s="1"/>
      <c r="G13" s="1"/>
      <c r="H13" s="1"/>
      <c r="I13" s="58"/>
      <c r="J13" s="71"/>
      <c r="K13" s="71"/>
      <c r="L13" s="94"/>
      <c r="M13" s="95"/>
      <c r="N13" s="95"/>
      <c r="O13" s="95"/>
      <c r="P13" s="95"/>
      <c r="Q13" s="95"/>
      <c r="R13" s="97"/>
    </row>
    <row r="14" spans="1:18" s="54" customFormat="1" x14ac:dyDescent="0.25">
      <c r="A14" s="1"/>
      <c r="B14" s="1" t="s">
        <v>9</v>
      </c>
      <c r="C14" s="12">
        <v>583684</v>
      </c>
      <c r="D14" s="12">
        <v>696591</v>
      </c>
      <c r="E14" s="12">
        <v>841147</v>
      </c>
      <c r="F14" s="12">
        <v>1588890</v>
      </c>
      <c r="G14" s="12">
        <v>1928432</v>
      </c>
      <c r="H14" s="12">
        <v>2051120</v>
      </c>
      <c r="I14" s="79">
        <f t="shared" ref="I14:R14" si="2">I11-I16</f>
        <v>3244860</v>
      </c>
      <c r="J14" s="76">
        <f t="shared" si="2"/>
        <v>3411400.86</v>
      </c>
      <c r="K14" s="76">
        <f t="shared" si="2"/>
        <v>3646806.4620000003</v>
      </c>
      <c r="L14" s="98">
        <f t="shared" si="2"/>
        <v>4053627.9828720004</v>
      </c>
      <c r="M14" s="99">
        <f t="shared" si="2"/>
        <v>4321167.429741553</v>
      </c>
      <c r="N14" s="99">
        <f t="shared" si="2"/>
        <v>4606364.4801044948</v>
      </c>
      <c r="O14" s="99">
        <f t="shared" si="2"/>
        <v>4910384.5357913915</v>
      </c>
      <c r="P14" s="99">
        <f t="shared" si="2"/>
        <v>5234469.9151536245</v>
      </c>
      <c r="Q14" s="99">
        <f t="shared" si="2"/>
        <v>5579944.9295537639</v>
      </c>
      <c r="R14" s="100">
        <f t="shared" si="2"/>
        <v>5948221.2949043131</v>
      </c>
    </row>
    <row r="15" spans="1:18" s="54" customFormat="1" x14ac:dyDescent="0.25">
      <c r="A15" s="1"/>
      <c r="B15" s="18"/>
      <c r="C15" s="18"/>
      <c r="D15" s="18"/>
      <c r="E15" s="18"/>
      <c r="F15" s="18"/>
      <c r="G15" s="18"/>
      <c r="H15" s="18"/>
      <c r="I15" s="58"/>
      <c r="J15" s="71"/>
      <c r="K15" s="71"/>
      <c r="L15" s="94"/>
      <c r="M15" s="95"/>
      <c r="N15" s="95"/>
      <c r="O15" s="95"/>
      <c r="P15" s="95"/>
      <c r="Q15" s="95"/>
      <c r="R15" s="97"/>
    </row>
    <row r="16" spans="1:18" s="54" customFormat="1" x14ac:dyDescent="0.25">
      <c r="A16" s="1"/>
      <c r="B16" s="1" t="s">
        <v>10</v>
      </c>
      <c r="C16" s="12">
        <f t="shared" ref="C16:H16" si="3">C11-C14</f>
        <v>388362</v>
      </c>
      <c r="D16" s="12">
        <f t="shared" si="3"/>
        <v>462203</v>
      </c>
      <c r="E16" s="12">
        <f t="shared" si="3"/>
        <v>521349</v>
      </c>
      <c r="F16" s="12">
        <f t="shared" si="3"/>
        <v>791181</v>
      </c>
      <c r="G16" s="12">
        <f t="shared" si="3"/>
        <v>1177459</v>
      </c>
      <c r="H16" s="12">
        <f t="shared" si="3"/>
        <v>1265496</v>
      </c>
      <c r="I16" s="61">
        <f>I11*I17</f>
        <v>2155140</v>
      </c>
      <c r="J16" s="72">
        <f t="shared" ref="J16:R16" si="4">J11*J17</f>
        <v>2328799.14</v>
      </c>
      <c r="K16" s="72">
        <f>K11*K17</f>
        <v>2587050.7379999999</v>
      </c>
      <c r="L16" s="101">
        <f t="shared" si="4"/>
        <v>2591663.7923280005</v>
      </c>
      <c r="M16" s="96">
        <f t="shared" si="4"/>
        <v>2762713.6026216485</v>
      </c>
      <c r="N16" s="96">
        <f t="shared" si="4"/>
        <v>2945052.7003946775</v>
      </c>
      <c r="O16" s="96">
        <f t="shared" si="4"/>
        <v>3139426.1786207263</v>
      </c>
      <c r="P16" s="96">
        <f t="shared" si="4"/>
        <v>3346628.3064096943</v>
      </c>
      <c r="Q16" s="96">
        <f t="shared" si="4"/>
        <v>3567505.7746327347</v>
      </c>
      <c r="R16" s="96">
        <f t="shared" si="4"/>
        <v>3802961.1557584954</v>
      </c>
    </row>
    <row r="17" spans="1:18" s="54" customFormat="1" x14ac:dyDescent="0.25">
      <c r="A17" s="1"/>
      <c r="B17" s="115" t="s">
        <v>11</v>
      </c>
      <c r="C17" s="116">
        <f t="shared" ref="C17:H17" si="5">C16/C11</f>
        <v>0.39953047489522103</v>
      </c>
      <c r="D17" s="116">
        <f t="shared" si="5"/>
        <v>0.39886554469560592</v>
      </c>
      <c r="E17" s="116">
        <f t="shared" si="5"/>
        <v>0.38264259124430455</v>
      </c>
      <c r="F17" s="116">
        <f t="shared" si="5"/>
        <v>0.33241907489314393</v>
      </c>
      <c r="G17" s="116">
        <f t="shared" si="5"/>
        <v>0.37910506196128585</v>
      </c>
      <c r="H17" s="116">
        <f t="shared" si="5"/>
        <v>0.38156241180769795</v>
      </c>
      <c r="I17" s="80">
        <v>0.39910000000000001</v>
      </c>
      <c r="J17" s="70">
        <v>0.40570000000000001</v>
      </c>
      <c r="K17" s="70">
        <v>0.41499999999999998</v>
      </c>
      <c r="L17" s="117">
        <v>0.39</v>
      </c>
      <c r="M17" s="118">
        <v>0.39</v>
      </c>
      <c r="N17" s="118">
        <v>0.39</v>
      </c>
      <c r="O17" s="118">
        <v>0.39</v>
      </c>
      <c r="P17" s="118">
        <v>0.39</v>
      </c>
      <c r="Q17" s="118">
        <v>0.39</v>
      </c>
      <c r="R17" s="118">
        <v>0.39</v>
      </c>
    </row>
    <row r="18" spans="1:18" s="54" customFormat="1" x14ac:dyDescent="0.25">
      <c r="A18" s="1"/>
      <c r="B18" s="6"/>
      <c r="C18" s="1"/>
      <c r="D18" s="1"/>
      <c r="E18" s="1"/>
      <c r="F18" s="1"/>
      <c r="G18" s="1"/>
      <c r="H18" s="1"/>
      <c r="I18" s="58"/>
      <c r="J18" s="71"/>
      <c r="K18" s="71"/>
      <c r="L18" s="94"/>
      <c r="M18" s="95"/>
      <c r="N18" s="95"/>
      <c r="O18" s="95"/>
      <c r="P18" s="95"/>
      <c r="Q18" s="95"/>
      <c r="R18" s="97"/>
    </row>
    <row r="19" spans="1:18" s="54" customFormat="1" x14ac:dyDescent="0.25">
      <c r="A19" s="1"/>
      <c r="B19" s="1" t="s">
        <v>12</v>
      </c>
      <c r="C19" s="12">
        <v>96806</v>
      </c>
      <c r="D19" s="12">
        <v>116875</v>
      </c>
      <c r="E19" s="12">
        <v>139163</v>
      </c>
      <c r="F19" s="12">
        <v>339073</v>
      </c>
      <c r="G19" s="12">
        <v>330105</v>
      </c>
      <c r="H19" s="12">
        <v>377106</v>
      </c>
      <c r="I19" s="61">
        <f>I20*I11</f>
        <v>567000</v>
      </c>
      <c r="J19" s="72">
        <f t="shared" ref="J19:R19" si="6">J20*J11</f>
        <v>631422</v>
      </c>
      <c r="K19" s="72">
        <f t="shared" si="6"/>
        <v>660788.86320000002</v>
      </c>
      <c r="L19" s="101">
        <f t="shared" si="6"/>
        <v>750917.9705976001</v>
      </c>
      <c r="M19" s="96">
        <f t="shared" si="6"/>
        <v>800478.55665704177</v>
      </c>
      <c r="N19" s="96">
        <f t="shared" si="6"/>
        <v>853310.14139640657</v>
      </c>
      <c r="O19" s="96">
        <f t="shared" si="6"/>
        <v>909628.61072856945</v>
      </c>
      <c r="P19" s="96">
        <f t="shared" si="6"/>
        <v>969664.09903665504</v>
      </c>
      <c r="Q19" s="96">
        <f t="shared" si="6"/>
        <v>1033661.9295730744</v>
      </c>
      <c r="R19" s="96">
        <f t="shared" si="6"/>
        <v>1101883.6169248973</v>
      </c>
    </row>
    <row r="20" spans="1:18" s="54" customFormat="1" x14ac:dyDescent="0.25">
      <c r="A20" s="1"/>
      <c r="B20" s="115" t="s">
        <v>18</v>
      </c>
      <c r="C20" s="116">
        <f>C19/C11</f>
        <v>9.9589937101742104E-2</v>
      </c>
      <c r="D20" s="116">
        <f t="shared" ref="D20:H20" si="7">D19/D11</f>
        <v>0.10085916910166949</v>
      </c>
      <c r="E20" s="116">
        <f t="shared" si="7"/>
        <v>0.10213828150688149</v>
      </c>
      <c r="F20" s="116">
        <f t="shared" si="7"/>
        <v>0.14246339710033859</v>
      </c>
      <c r="G20" s="116">
        <f t="shared" si="7"/>
        <v>0.1062835109152253</v>
      </c>
      <c r="H20" s="116">
        <f t="shared" si="7"/>
        <v>0.11370203846330115</v>
      </c>
      <c r="I20" s="78">
        <v>0.105</v>
      </c>
      <c r="J20" s="60">
        <v>0.11</v>
      </c>
      <c r="K20" s="60">
        <v>0.106</v>
      </c>
      <c r="L20" s="108">
        <v>0.113</v>
      </c>
      <c r="M20" s="109">
        <v>0.113</v>
      </c>
      <c r="N20" s="109">
        <v>0.113</v>
      </c>
      <c r="O20" s="109">
        <v>0.113</v>
      </c>
      <c r="P20" s="109">
        <v>0.113</v>
      </c>
      <c r="Q20" s="109">
        <v>0.113</v>
      </c>
      <c r="R20" s="109">
        <v>0.113</v>
      </c>
    </row>
    <row r="21" spans="1:18" s="54" customFormat="1" x14ac:dyDescent="0.25">
      <c r="A21" s="1"/>
      <c r="B21" s="1"/>
      <c r="C21" s="20"/>
      <c r="D21" s="20"/>
      <c r="E21" s="20"/>
      <c r="F21" s="20"/>
      <c r="G21" s="20"/>
      <c r="H21" s="20"/>
      <c r="I21" s="61"/>
      <c r="J21" s="72"/>
      <c r="K21" s="72"/>
      <c r="L21" s="101"/>
      <c r="M21" s="96"/>
      <c r="N21" s="96"/>
      <c r="O21" s="96"/>
      <c r="P21" s="96"/>
      <c r="Q21" s="96"/>
      <c r="R21" s="96"/>
    </row>
    <row r="22" spans="1:18" s="54" customFormat="1" x14ac:dyDescent="0.25">
      <c r="A22" s="1"/>
      <c r="B22" s="1" t="s">
        <v>41</v>
      </c>
      <c r="C22" s="12">
        <v>176000</v>
      </c>
      <c r="D22" s="12">
        <v>208565</v>
      </c>
      <c r="E22" s="12">
        <v>233518</v>
      </c>
      <c r="F22" s="12">
        <v>412629</v>
      </c>
      <c r="G22" s="12">
        <v>445235</v>
      </c>
      <c r="H22" s="12">
        <v>474096</v>
      </c>
      <c r="I22" s="61">
        <f>I23*I11</f>
        <v>772199.99999999988</v>
      </c>
      <c r="J22" s="72">
        <f t="shared" ref="J22:R22" si="8">J23*J11</f>
        <v>861030</v>
      </c>
      <c r="K22" s="72">
        <f t="shared" si="8"/>
        <v>997417.152</v>
      </c>
      <c r="L22" s="101">
        <f t="shared" si="8"/>
        <v>996793.7662800001</v>
      </c>
      <c r="M22" s="96">
        <f t="shared" si="8"/>
        <v>1062582.1548544802</v>
      </c>
      <c r="N22" s="96">
        <f t="shared" si="8"/>
        <v>1132712.5770748758</v>
      </c>
      <c r="O22" s="96">
        <f t="shared" si="8"/>
        <v>1207471.6071618176</v>
      </c>
      <c r="P22" s="96">
        <f t="shared" si="8"/>
        <v>1287164.7332344977</v>
      </c>
      <c r="Q22" s="96">
        <f t="shared" si="8"/>
        <v>1372117.6056279747</v>
      </c>
      <c r="R22" s="96">
        <f t="shared" si="8"/>
        <v>1462677.3675994212</v>
      </c>
    </row>
    <row r="23" spans="1:18" s="54" customFormat="1" x14ac:dyDescent="0.25">
      <c r="A23" s="1"/>
      <c r="B23" s="115" t="s">
        <v>18</v>
      </c>
      <c r="C23" s="116">
        <f>C22/C11</f>
        <v>0.18106139009882249</v>
      </c>
      <c r="D23" s="116">
        <f t="shared" ref="D23:H23" si="9">D22/D11</f>
        <v>0.17998453564654288</v>
      </c>
      <c r="E23" s="116">
        <f t="shared" si="9"/>
        <v>0.17138986096105971</v>
      </c>
      <c r="F23" s="116">
        <f t="shared" si="9"/>
        <v>0.17336835749857882</v>
      </c>
      <c r="G23" s="116">
        <f t="shared" si="9"/>
        <v>0.14335177892591852</v>
      </c>
      <c r="H23" s="116">
        <f t="shared" si="9"/>
        <v>0.14294570128106479</v>
      </c>
      <c r="I23" s="122">
        <v>0.14299999999999999</v>
      </c>
      <c r="J23" s="123">
        <v>0.15</v>
      </c>
      <c r="K23" s="123">
        <v>0.16</v>
      </c>
      <c r="L23" s="102">
        <v>0.15</v>
      </c>
      <c r="M23" s="103">
        <v>0.15</v>
      </c>
      <c r="N23" s="103">
        <v>0.15</v>
      </c>
      <c r="O23" s="103">
        <v>0.15</v>
      </c>
      <c r="P23" s="103">
        <v>0.15</v>
      </c>
      <c r="Q23" s="103">
        <v>0.15</v>
      </c>
      <c r="R23" s="103">
        <v>0.15</v>
      </c>
    </row>
    <row r="24" spans="1:18" s="54" customFormat="1" x14ac:dyDescent="0.25">
      <c r="A24" s="1"/>
      <c r="B24" s="1"/>
      <c r="C24" s="20"/>
      <c r="D24" s="20"/>
      <c r="E24" s="20"/>
      <c r="F24" s="20"/>
      <c r="G24" s="20"/>
      <c r="H24" s="20"/>
      <c r="I24" s="61"/>
      <c r="J24" s="72"/>
      <c r="K24" s="72"/>
      <c r="L24" s="101"/>
      <c r="M24" s="96"/>
      <c r="N24" s="96"/>
      <c r="O24" s="96"/>
      <c r="P24" s="96"/>
      <c r="Q24" s="96"/>
      <c r="R24" s="96"/>
    </row>
    <row r="25" spans="1:18" s="54" customFormat="1" x14ac:dyDescent="0.25">
      <c r="A25" s="1"/>
      <c r="B25" s="1" t="s">
        <v>42</v>
      </c>
      <c r="C25" s="12">
        <v>6809</v>
      </c>
      <c r="D25" s="12">
        <v>18352</v>
      </c>
      <c r="E25" s="12">
        <v>22417</v>
      </c>
      <c r="F25" s="12">
        <v>89409</v>
      </c>
      <c r="G25" s="12">
        <v>59899</v>
      </c>
      <c r="H25" s="12">
        <v>121254</v>
      </c>
      <c r="I25" s="61">
        <f>I26*I11</f>
        <v>75600</v>
      </c>
      <c r="J25" s="72">
        <f t="shared" ref="J25:R25" si="10">J26*J11</f>
        <v>80362.8</v>
      </c>
      <c r="K25" s="72">
        <f t="shared" si="10"/>
        <v>87274.000800000009</v>
      </c>
      <c r="L25" s="101">
        <f t="shared" si="10"/>
        <v>199358.75325600003</v>
      </c>
      <c r="M25" s="96">
        <f t="shared" si="10"/>
        <v>212516.43097089604</v>
      </c>
      <c r="N25" s="96">
        <f t="shared" si="10"/>
        <v>226542.51541497518</v>
      </c>
      <c r="O25" s="96">
        <f t="shared" si="10"/>
        <v>241494.32143236353</v>
      </c>
      <c r="P25" s="96">
        <f t="shared" si="10"/>
        <v>257432.94664689957</v>
      </c>
      <c r="Q25" s="96">
        <f t="shared" si="10"/>
        <v>274423.52112559497</v>
      </c>
      <c r="R25" s="96">
        <f t="shared" si="10"/>
        <v>292535.47351988422</v>
      </c>
    </row>
    <row r="26" spans="1:18" s="54" customFormat="1" x14ac:dyDescent="0.25">
      <c r="A26" s="1"/>
      <c r="B26" s="115" t="s">
        <v>18</v>
      </c>
      <c r="C26" s="116">
        <f>C25/C11</f>
        <v>7.0048125294481945E-3</v>
      </c>
      <c r="D26" s="116">
        <f t="shared" ref="D26:H26" si="11">D25/D11</f>
        <v>1.5837154835113058E-2</v>
      </c>
      <c r="E26" s="116">
        <f t="shared" si="11"/>
        <v>1.6452892338766498E-2</v>
      </c>
      <c r="F26" s="116">
        <f t="shared" si="11"/>
        <v>3.7565686065667792E-2</v>
      </c>
      <c r="G26" s="116">
        <f t="shared" si="11"/>
        <v>1.9285609185898667E-2</v>
      </c>
      <c r="H26" s="116">
        <f t="shared" si="11"/>
        <v>3.6559553472575661E-2</v>
      </c>
      <c r="I26" s="124">
        <v>1.4E-2</v>
      </c>
      <c r="J26" s="125">
        <v>1.4E-2</v>
      </c>
      <c r="K26" s="125">
        <v>1.4E-2</v>
      </c>
      <c r="L26" s="102">
        <v>0.03</v>
      </c>
      <c r="M26" s="103">
        <v>0.03</v>
      </c>
      <c r="N26" s="103">
        <v>0.03</v>
      </c>
      <c r="O26" s="103">
        <v>0.03</v>
      </c>
      <c r="P26" s="103">
        <v>0.03</v>
      </c>
      <c r="Q26" s="103">
        <v>0.03</v>
      </c>
      <c r="R26" s="103">
        <v>0.03</v>
      </c>
    </row>
    <row r="27" spans="1:18" s="54" customFormat="1" x14ac:dyDescent="0.25">
      <c r="A27" s="1"/>
      <c r="B27" s="1"/>
      <c r="C27" s="20"/>
      <c r="D27" s="20"/>
      <c r="E27" s="20"/>
      <c r="F27" s="20"/>
      <c r="G27" s="20"/>
      <c r="H27" s="20"/>
      <c r="I27" s="61"/>
      <c r="J27" s="72"/>
      <c r="K27" s="72"/>
      <c r="L27" s="101"/>
      <c r="M27" s="96"/>
      <c r="N27" s="96"/>
      <c r="O27" s="96"/>
      <c r="P27" s="96"/>
      <c r="Q27" s="96"/>
      <c r="R27" s="96"/>
    </row>
    <row r="28" spans="1:18" s="54" customFormat="1" x14ac:dyDescent="0.25">
      <c r="A28" s="1"/>
      <c r="B28" s="1" t="s">
        <v>13</v>
      </c>
      <c r="C28" s="12">
        <v>-10041</v>
      </c>
      <c r="D28" s="12">
        <v>-3783</v>
      </c>
      <c r="E28" s="12">
        <v>-2562</v>
      </c>
      <c r="F28" s="12">
        <v>13998</v>
      </c>
      <c r="G28" s="12">
        <v>-10370</v>
      </c>
      <c r="H28" s="12">
        <v>11233</v>
      </c>
      <c r="I28" s="63">
        <f>I29*I11</f>
        <v>10800</v>
      </c>
      <c r="J28" s="73">
        <f t="shared" ref="J28:R28" si="12">J29*J11</f>
        <v>17220.599999999999</v>
      </c>
      <c r="K28" s="73">
        <f t="shared" si="12"/>
        <v>18701.571599999999</v>
      </c>
      <c r="L28" s="104">
        <f t="shared" si="12"/>
        <v>19935.875325600002</v>
      </c>
      <c r="M28" s="105">
        <f t="shared" si="12"/>
        <v>21251.643097089604</v>
      </c>
      <c r="N28" s="105">
        <f t="shared" si="12"/>
        <v>22654.251541497521</v>
      </c>
      <c r="O28" s="105">
        <f t="shared" si="12"/>
        <v>24149.432143236354</v>
      </c>
      <c r="P28" s="105">
        <f t="shared" si="12"/>
        <v>25743.294664689958</v>
      </c>
      <c r="Q28" s="105">
        <f t="shared" si="12"/>
        <v>27442.352112559496</v>
      </c>
      <c r="R28" s="105">
        <f t="shared" si="12"/>
        <v>29253.547351988425</v>
      </c>
    </row>
    <row r="29" spans="1:18" s="54" customFormat="1" x14ac:dyDescent="0.25">
      <c r="A29" s="1"/>
      <c r="B29" s="115" t="s">
        <v>18</v>
      </c>
      <c r="C29" s="116">
        <f>C28/C11</f>
        <v>-1.0329758056717481E-2</v>
      </c>
      <c r="D29" s="116">
        <f t="shared" ref="D29:H29" si="13">D28/D11</f>
        <v>-3.2646009558213109E-3</v>
      </c>
      <c r="E29" s="116">
        <f t="shared" si="13"/>
        <v>-1.8803724928366761E-3</v>
      </c>
      <c r="F29" s="116">
        <f t="shared" si="13"/>
        <v>5.8813371533874411E-3</v>
      </c>
      <c r="G29" s="116">
        <f t="shared" si="13"/>
        <v>-3.3388164620071987E-3</v>
      </c>
      <c r="H29" s="116">
        <f t="shared" si="13"/>
        <v>3.3868859102169197E-3</v>
      </c>
      <c r="I29" s="64">
        <v>2E-3</v>
      </c>
      <c r="J29" s="74">
        <v>3.0000000000000001E-3</v>
      </c>
      <c r="K29" s="74">
        <v>3.0000000000000001E-3</v>
      </c>
      <c r="L29" s="106">
        <v>3.0000000000000001E-3</v>
      </c>
      <c r="M29" s="107">
        <v>3.0000000000000001E-3</v>
      </c>
      <c r="N29" s="107">
        <v>3.0000000000000001E-3</v>
      </c>
      <c r="O29" s="107">
        <v>3.0000000000000001E-3</v>
      </c>
      <c r="P29" s="107">
        <v>3.0000000000000001E-3</v>
      </c>
      <c r="Q29" s="107">
        <v>3.0000000000000001E-3</v>
      </c>
      <c r="R29" s="107">
        <v>3.0000000000000001E-3</v>
      </c>
    </row>
    <row r="30" spans="1:18" s="54" customFormat="1" x14ac:dyDescent="0.25">
      <c r="A30" s="1"/>
      <c r="B30" s="1"/>
      <c r="C30" s="20"/>
      <c r="D30" s="20"/>
      <c r="E30" s="20"/>
      <c r="F30" s="20"/>
      <c r="G30" s="20"/>
      <c r="H30" s="20"/>
      <c r="I30" s="58"/>
      <c r="J30" s="71"/>
      <c r="K30" s="71"/>
      <c r="L30" s="94"/>
      <c r="M30" s="95"/>
      <c r="N30" s="95"/>
      <c r="O30" s="95"/>
      <c r="P30" s="95"/>
      <c r="Q30" s="95"/>
      <c r="R30" s="97"/>
    </row>
    <row r="31" spans="1:18" s="54" customFormat="1" x14ac:dyDescent="0.25">
      <c r="A31" s="1"/>
      <c r="B31" s="1" t="s">
        <v>14</v>
      </c>
      <c r="C31" s="12">
        <f>SUM(C19:C28)</f>
        <v>269574.28765613976</v>
      </c>
      <c r="D31" s="12">
        <f>SUM(D19:D28)</f>
        <v>340009.29668085958</v>
      </c>
      <c r="E31" s="12">
        <f>SUM(E19:E28)</f>
        <v>392536.28998103482</v>
      </c>
      <c r="F31" s="12">
        <f>SUM(F19:F28)</f>
        <v>855109.35339744063</v>
      </c>
      <c r="G31" s="12">
        <f>SUM(G19:G28)</f>
        <v>824869.26892089902</v>
      </c>
      <c r="H31" s="12">
        <f>SUM(H19:H28)</f>
        <v>983689.29320729326</v>
      </c>
      <c r="I31" s="63">
        <f>SUM(I19:I28)</f>
        <v>1425600.2619999999</v>
      </c>
      <c r="J31" s="73">
        <f t="shared" ref="I31:R31" si="14">SUM(J19:J28)</f>
        <v>1590035.6739999999</v>
      </c>
      <c r="K31" s="73">
        <f t="shared" si="14"/>
        <v>1764181.8675999998</v>
      </c>
      <c r="L31" s="104">
        <f t="shared" si="14"/>
        <v>1967006.6584592001</v>
      </c>
      <c r="M31" s="105">
        <f t="shared" si="14"/>
        <v>2096829.0785795075</v>
      </c>
      <c r="N31" s="105">
        <f t="shared" si="14"/>
        <v>2235219.778427755</v>
      </c>
      <c r="O31" s="105">
        <f t="shared" si="14"/>
        <v>2382744.2644659872</v>
      </c>
      <c r="P31" s="105">
        <f t="shared" si="14"/>
        <v>2540005.366582742</v>
      </c>
      <c r="Q31" s="105">
        <f t="shared" si="14"/>
        <v>2707645.7014392037</v>
      </c>
      <c r="R31" s="105">
        <f t="shared" si="14"/>
        <v>2886350.2983961906</v>
      </c>
    </row>
    <row r="32" spans="1:18" s="54" customFormat="1" x14ac:dyDescent="0.25">
      <c r="A32" s="1"/>
      <c r="B32" s="115" t="s">
        <v>18</v>
      </c>
      <c r="C32" s="116">
        <f t="shared" ref="C32:R32" si="15">C31/C11</f>
        <v>0.27732667760182106</v>
      </c>
      <c r="D32" s="116">
        <f t="shared" si="15"/>
        <v>0.29341651465304408</v>
      </c>
      <c r="E32" s="116">
        <f t="shared" si="15"/>
        <v>0.28810087514461313</v>
      </c>
      <c r="F32" s="116">
        <f t="shared" si="15"/>
        <v>0.35927892629986274</v>
      </c>
      <c r="G32" s="116">
        <f t="shared" si="15"/>
        <v>0.2655821691491746</v>
      </c>
      <c r="H32" s="116">
        <f t="shared" si="15"/>
        <v>0.29659426753271806</v>
      </c>
      <c r="I32" s="78">
        <f t="shared" si="15"/>
        <v>0.26400004851851849</v>
      </c>
      <c r="J32" s="60">
        <f t="shared" si="15"/>
        <v>0.27700004773352843</v>
      </c>
      <c r="K32" s="60">
        <f t="shared" si="15"/>
        <v>0.28300004491601116</v>
      </c>
      <c r="L32" s="108">
        <f t="shared" si="15"/>
        <v>0.29600004409136721</v>
      </c>
      <c r="M32" s="109">
        <f t="shared" si="15"/>
        <v>0.2960000413615077</v>
      </c>
      <c r="N32" s="109">
        <f t="shared" si="15"/>
        <v>0.29600003880066389</v>
      </c>
      <c r="O32" s="109">
        <f t="shared" si="15"/>
        <v>0.29600003639837141</v>
      </c>
      <c r="P32" s="109">
        <f t="shared" si="15"/>
        <v>0.29600003414481363</v>
      </c>
      <c r="Q32" s="109">
        <f t="shared" si="15"/>
        <v>0.29600003203078207</v>
      </c>
      <c r="R32" s="109">
        <f t="shared" si="15"/>
        <v>0.29600003004763792</v>
      </c>
    </row>
    <row r="33" spans="1:86" s="54" customFormat="1" x14ac:dyDescent="0.25">
      <c r="A33" s="1"/>
      <c r="B33" s="1"/>
      <c r="C33" s="15"/>
      <c r="D33" s="15"/>
      <c r="E33" s="15"/>
      <c r="F33" s="15"/>
      <c r="G33" s="15"/>
      <c r="H33" s="15"/>
      <c r="I33" s="65"/>
      <c r="J33" s="68"/>
      <c r="K33" s="68"/>
      <c r="L33" s="108"/>
      <c r="M33" s="109"/>
      <c r="N33" s="109"/>
      <c r="O33" s="109"/>
      <c r="P33" s="109"/>
      <c r="Q33" s="109"/>
      <c r="R33" s="109"/>
    </row>
    <row r="34" spans="1:86" s="54" customFormat="1" x14ac:dyDescent="0.25">
      <c r="A34" s="1"/>
      <c r="B34" s="1" t="s">
        <v>15</v>
      </c>
      <c r="C34" s="12">
        <f t="shared" ref="C34:I34" si="16">C16-C19-C22</f>
        <v>115556</v>
      </c>
      <c r="D34" s="12">
        <f t="shared" si="16"/>
        <v>136763</v>
      </c>
      <c r="E34" s="12">
        <f t="shared" si="16"/>
        <v>148668</v>
      </c>
      <c r="F34" s="12">
        <f t="shared" si="16"/>
        <v>39479</v>
      </c>
      <c r="G34" s="12">
        <f t="shared" si="16"/>
        <v>402119</v>
      </c>
      <c r="H34" s="12">
        <f t="shared" si="16"/>
        <v>414294</v>
      </c>
      <c r="I34" s="63">
        <f>I16-I19-I22</f>
        <v>815940.00000000012</v>
      </c>
      <c r="J34" s="73">
        <f t="shared" ref="J34:R34" si="17">J16-J19-J22</f>
        <v>836347.14000000013</v>
      </c>
      <c r="K34" s="73">
        <f>K16-K19-K22</f>
        <v>928844.72279999987</v>
      </c>
      <c r="L34" s="104">
        <f t="shared" si="17"/>
        <v>843952.05545040034</v>
      </c>
      <c r="M34" s="105">
        <f t="shared" si="17"/>
        <v>899652.89111012639</v>
      </c>
      <c r="N34" s="105">
        <f t="shared" si="17"/>
        <v>959029.98192339507</v>
      </c>
      <c r="O34" s="105">
        <f t="shared" si="17"/>
        <v>1022325.9607303394</v>
      </c>
      <c r="P34" s="105">
        <f t="shared" si="17"/>
        <v>1089799.4741385416</v>
      </c>
      <c r="Q34" s="105">
        <f t="shared" si="17"/>
        <v>1161726.2394316855</v>
      </c>
      <c r="R34" s="105">
        <f t="shared" si="17"/>
        <v>1238400.171234177</v>
      </c>
    </row>
    <row r="35" spans="1:86" s="54" customFormat="1" x14ac:dyDescent="0.25">
      <c r="A35" s="1"/>
      <c r="B35" s="1"/>
      <c r="C35" s="21"/>
      <c r="D35" s="21"/>
      <c r="E35" s="21"/>
      <c r="F35" s="21"/>
      <c r="G35" s="21"/>
      <c r="H35" s="21"/>
      <c r="I35" s="66"/>
      <c r="J35" s="75"/>
      <c r="K35" s="75"/>
      <c r="L35" s="110"/>
      <c r="M35" s="97"/>
      <c r="N35" s="97"/>
      <c r="O35" s="97"/>
      <c r="P35" s="97"/>
      <c r="Q35" s="97"/>
      <c r="R35" s="97"/>
    </row>
    <row r="36" spans="1:86" s="54" customFormat="1" x14ac:dyDescent="0.25">
      <c r="A36" s="1"/>
      <c r="B36" s="1" t="s">
        <v>16</v>
      </c>
      <c r="C36" s="12">
        <f t="shared" ref="C36:I36" si="18">C34-C25-C28</f>
        <v>118788</v>
      </c>
      <c r="D36" s="12">
        <f t="shared" si="18"/>
        <v>122194</v>
      </c>
      <c r="E36" s="12">
        <f t="shared" si="18"/>
        <v>128813</v>
      </c>
      <c r="F36" s="12">
        <f t="shared" si="18"/>
        <v>-63928</v>
      </c>
      <c r="G36" s="12">
        <f t="shared" si="18"/>
        <v>352590</v>
      </c>
      <c r="H36" s="12">
        <f t="shared" si="18"/>
        <v>281807</v>
      </c>
      <c r="I36" s="63">
        <f>I34-I25-I28</f>
        <v>729540.00000000012</v>
      </c>
      <c r="J36" s="73">
        <f t="shared" ref="J36:R36" si="19">J34-J25-J28</f>
        <v>738763.74000000011</v>
      </c>
      <c r="K36" s="73">
        <f>K34-K25-K28</f>
        <v>822869.15039999981</v>
      </c>
      <c r="L36" s="104">
        <f>L34-L25-L28</f>
        <v>624657.42686880031</v>
      </c>
      <c r="M36" s="105">
        <f t="shared" si="19"/>
        <v>665884.81704214076</v>
      </c>
      <c r="N36" s="105">
        <f t="shared" si="19"/>
        <v>709833.21496692242</v>
      </c>
      <c r="O36" s="105">
        <f t="shared" si="19"/>
        <v>756682.20715473953</v>
      </c>
      <c r="P36" s="105">
        <f t="shared" si="19"/>
        <v>806623.23282695212</v>
      </c>
      <c r="Q36" s="105">
        <f t="shared" si="19"/>
        <v>859860.36619353108</v>
      </c>
      <c r="R36" s="105">
        <f t="shared" si="19"/>
        <v>916611.1503623043</v>
      </c>
    </row>
    <row r="37" spans="1:86" s="54" customFormat="1" x14ac:dyDescent="0.25">
      <c r="A37" s="1"/>
      <c r="B37" s="1"/>
      <c r="C37" s="21"/>
      <c r="D37" s="21"/>
      <c r="E37" s="21"/>
      <c r="F37" s="21"/>
      <c r="G37" s="21"/>
      <c r="H37" s="21"/>
      <c r="I37" s="58"/>
      <c r="J37" s="71"/>
      <c r="K37" s="71"/>
      <c r="L37" s="94"/>
      <c r="M37" s="95"/>
      <c r="N37" s="95"/>
      <c r="O37" s="95"/>
      <c r="P37" s="95"/>
      <c r="Q37" s="95"/>
      <c r="R37" s="97"/>
    </row>
    <row r="38" spans="1:86" s="54" customFormat="1" x14ac:dyDescent="0.25">
      <c r="A38" s="1"/>
      <c r="B38" s="1" t="s">
        <v>17</v>
      </c>
      <c r="C38" s="12">
        <f t="shared" ref="C38:R38" si="20">C34</f>
        <v>115556</v>
      </c>
      <c r="D38" s="12">
        <f t="shared" si="20"/>
        <v>136763</v>
      </c>
      <c r="E38" s="12">
        <f t="shared" si="20"/>
        <v>148668</v>
      </c>
      <c r="F38" s="12">
        <f t="shared" si="20"/>
        <v>39479</v>
      </c>
      <c r="G38" s="12">
        <f t="shared" si="20"/>
        <v>402119</v>
      </c>
      <c r="H38" s="12">
        <f t="shared" si="20"/>
        <v>414294</v>
      </c>
      <c r="I38" s="63">
        <f>I34</f>
        <v>815940.00000000012</v>
      </c>
      <c r="J38" s="73">
        <f t="shared" si="20"/>
        <v>836347.14000000013</v>
      </c>
      <c r="K38" s="73">
        <f t="shared" si="20"/>
        <v>928844.72279999987</v>
      </c>
      <c r="L38" s="104">
        <f t="shared" si="20"/>
        <v>843952.05545040034</v>
      </c>
      <c r="M38" s="105">
        <f t="shared" si="20"/>
        <v>899652.89111012639</v>
      </c>
      <c r="N38" s="105">
        <f t="shared" si="20"/>
        <v>959029.98192339507</v>
      </c>
      <c r="O38" s="105">
        <f t="shared" si="20"/>
        <v>1022325.9607303394</v>
      </c>
      <c r="P38" s="105">
        <f t="shared" si="20"/>
        <v>1089799.4741385416</v>
      </c>
      <c r="Q38" s="105">
        <f t="shared" si="20"/>
        <v>1161726.2394316855</v>
      </c>
      <c r="R38" s="105">
        <f t="shared" si="20"/>
        <v>1238400.171234177</v>
      </c>
    </row>
    <row r="39" spans="1:86" s="54" customFormat="1" x14ac:dyDescent="0.25">
      <c r="A39" s="1"/>
      <c r="B39" s="115" t="s">
        <v>18</v>
      </c>
      <c r="C39" s="116">
        <f t="shared" ref="C39:R39" si="21">C38/C11</f>
        <v>0.11887914769465642</v>
      </c>
      <c r="D39" s="116">
        <f t="shared" si="21"/>
        <v>0.11802183994739358</v>
      </c>
      <c r="E39" s="116">
        <f t="shared" si="21"/>
        <v>0.10911444877636338</v>
      </c>
      <c r="F39" s="116">
        <f t="shared" si="21"/>
        <v>1.6587320294226517E-2</v>
      </c>
      <c r="G39" s="116">
        <f t="shared" si="21"/>
        <v>0.12946977212014202</v>
      </c>
      <c r="H39" s="116">
        <f t="shared" si="21"/>
        <v>0.12491467206333202</v>
      </c>
      <c r="I39" s="78">
        <f>I38/I11</f>
        <v>0.15110000000000001</v>
      </c>
      <c r="J39" s="60">
        <f t="shared" si="21"/>
        <v>0.14570000000000002</v>
      </c>
      <c r="K39" s="60">
        <f t="shared" si="21"/>
        <v>0.14899999999999997</v>
      </c>
      <c r="L39" s="108">
        <f t="shared" si="21"/>
        <v>0.12700000000000003</v>
      </c>
      <c r="M39" s="109">
        <f t="shared" si="21"/>
        <v>0.12699999999999997</v>
      </c>
      <c r="N39" s="109">
        <f t="shared" si="21"/>
        <v>0.12700000000000003</v>
      </c>
      <c r="O39" s="109">
        <f t="shared" si="21"/>
        <v>0.12700000000000006</v>
      </c>
      <c r="P39" s="109">
        <f t="shared" si="21"/>
        <v>0.127</v>
      </c>
      <c r="Q39" s="109">
        <f t="shared" si="21"/>
        <v>0.12700000000000003</v>
      </c>
      <c r="R39" s="109">
        <f t="shared" si="21"/>
        <v>0.12700000000000003</v>
      </c>
    </row>
    <row r="40" spans="1:86" s="54" customFormat="1" x14ac:dyDescent="0.25">
      <c r="A40" s="1"/>
      <c r="B40" s="14"/>
      <c r="C40" s="1"/>
      <c r="D40" s="1"/>
      <c r="E40" s="1"/>
      <c r="F40" s="2"/>
      <c r="G40" s="1"/>
      <c r="H40" s="1"/>
      <c r="I40" s="58"/>
      <c r="J40" s="71"/>
      <c r="K40" s="71"/>
      <c r="L40" s="94"/>
      <c r="M40" s="95"/>
      <c r="N40" s="95"/>
      <c r="O40" s="97"/>
      <c r="P40" s="97"/>
      <c r="Q40" s="97"/>
      <c r="R40" s="97"/>
    </row>
    <row r="41" spans="1:86" s="54" customFormat="1" x14ac:dyDescent="0.25">
      <c r="A41" s="1"/>
      <c r="B41" s="1" t="s">
        <v>19</v>
      </c>
      <c r="C41" s="12">
        <v>23514</v>
      </c>
      <c r="D41" s="12">
        <v>34192</v>
      </c>
      <c r="E41" s="12">
        <v>21296</v>
      </c>
      <c r="F41" s="23">
        <v>3101</v>
      </c>
      <c r="G41" s="12">
        <v>55038</v>
      </c>
      <c r="H41" s="12">
        <v>47048</v>
      </c>
      <c r="I41" s="61">
        <f>I38*I42</f>
        <v>161556.12000000002</v>
      </c>
      <c r="J41" s="72">
        <f t="shared" ref="J41:R41" si="22">J38*J42</f>
        <v>165596.73372000005</v>
      </c>
      <c r="K41" s="72">
        <f t="shared" si="22"/>
        <v>183911.25511439997</v>
      </c>
      <c r="L41" s="101">
        <f t="shared" si="22"/>
        <v>177229.93164458405</v>
      </c>
      <c r="M41" s="96">
        <f t="shared" si="22"/>
        <v>188927.10713312653</v>
      </c>
      <c r="N41" s="96">
        <f t="shared" si="22"/>
        <v>201396.29620391296</v>
      </c>
      <c r="O41" s="96">
        <f t="shared" si="22"/>
        <v>214688.45175337128</v>
      </c>
      <c r="P41" s="96">
        <f t="shared" si="22"/>
        <v>228857.88956909374</v>
      </c>
      <c r="Q41" s="96">
        <f t="shared" si="22"/>
        <v>243962.51028065395</v>
      </c>
      <c r="R41" s="96">
        <f t="shared" si="22"/>
        <v>260064.03595917716</v>
      </c>
    </row>
    <row r="42" spans="1:86" s="54" customFormat="1" x14ac:dyDescent="0.25">
      <c r="A42" s="1"/>
      <c r="B42" s="115" t="s">
        <v>20</v>
      </c>
      <c r="C42" s="119">
        <f t="shared" ref="C42:R42" si="23">C41/C38</f>
        <v>0.20348575582401607</v>
      </c>
      <c r="D42" s="119">
        <f t="shared" si="23"/>
        <v>0.2500091398989493</v>
      </c>
      <c r="E42" s="119">
        <f t="shared" si="23"/>
        <v>0.14324535205962277</v>
      </c>
      <c r="F42" s="119">
        <f t="shared" si="23"/>
        <v>7.8548088857367207E-2</v>
      </c>
      <c r="G42" s="119">
        <f t="shared" si="23"/>
        <v>0.13686993153767915</v>
      </c>
      <c r="H42" s="119">
        <f t="shared" si="23"/>
        <v>0.11356186669370061</v>
      </c>
      <c r="I42" s="126">
        <v>0.19800000000000001</v>
      </c>
      <c r="J42" s="127">
        <v>0.19800000000000001</v>
      </c>
      <c r="K42" s="127">
        <v>0.19800000000000001</v>
      </c>
      <c r="L42" s="117">
        <v>0.21</v>
      </c>
      <c r="M42" s="118">
        <v>0.21</v>
      </c>
      <c r="N42" s="118">
        <v>0.21</v>
      </c>
      <c r="O42" s="118">
        <v>0.21</v>
      </c>
      <c r="P42" s="118">
        <v>0.21</v>
      </c>
      <c r="Q42" s="118">
        <v>0.21</v>
      </c>
      <c r="R42" s="118">
        <v>0.21</v>
      </c>
    </row>
    <row r="43" spans="1:86" s="54" customFormat="1" x14ac:dyDescent="0.25">
      <c r="A43" s="1"/>
      <c r="B43" s="1"/>
      <c r="C43" s="1"/>
      <c r="D43" s="1"/>
      <c r="E43" s="1"/>
      <c r="F43" s="1"/>
      <c r="G43" s="1"/>
      <c r="H43" s="1"/>
      <c r="I43" s="58"/>
      <c r="J43" s="71"/>
      <c r="K43" s="71"/>
      <c r="L43" s="94"/>
      <c r="M43" s="95"/>
      <c r="N43" s="95"/>
      <c r="O43" s="95"/>
      <c r="P43" s="95"/>
      <c r="Q43" s="95"/>
      <c r="R43" s="97"/>
    </row>
    <row r="44" spans="1:86" s="54" customFormat="1" x14ac:dyDescent="0.25">
      <c r="A44" s="1"/>
      <c r="B44" s="10" t="s">
        <v>21</v>
      </c>
      <c r="C44" s="10">
        <v>2017</v>
      </c>
      <c r="D44" s="10">
        <v>2018</v>
      </c>
      <c r="E44" s="10">
        <v>2019</v>
      </c>
      <c r="F44" s="11">
        <v>2020</v>
      </c>
      <c r="G44" s="10">
        <v>2021</v>
      </c>
      <c r="H44" s="10">
        <v>2022</v>
      </c>
      <c r="I44" s="81">
        <v>2023</v>
      </c>
      <c r="J44" s="77">
        <v>2024</v>
      </c>
      <c r="K44" s="77">
        <v>2025</v>
      </c>
      <c r="L44" s="81">
        <v>2026</v>
      </c>
      <c r="M44" s="77">
        <v>2027</v>
      </c>
      <c r="N44" s="77">
        <v>2028</v>
      </c>
      <c r="O44" s="77">
        <v>2029</v>
      </c>
      <c r="P44" s="77">
        <v>2030</v>
      </c>
      <c r="Q44" s="77">
        <v>2031</v>
      </c>
      <c r="R44" s="77">
        <v>2032</v>
      </c>
      <c r="S44" s="10">
        <v>2033</v>
      </c>
      <c r="T44" s="10">
        <v>2034</v>
      </c>
      <c r="U44" s="10">
        <v>2035</v>
      </c>
      <c r="V44" s="10">
        <v>2036</v>
      </c>
      <c r="W44" s="10">
        <v>2037</v>
      </c>
      <c r="X44" s="10">
        <v>2038</v>
      </c>
      <c r="Y44" s="10">
        <v>2039</v>
      </c>
      <c r="Z44" s="10">
        <v>2040</v>
      </c>
      <c r="AA44" s="10">
        <v>2041</v>
      </c>
      <c r="AB44" s="10">
        <v>2042</v>
      </c>
      <c r="AC44" s="10">
        <v>2043</v>
      </c>
      <c r="AD44" s="10">
        <v>2044</v>
      </c>
      <c r="AE44" s="10">
        <v>2045</v>
      </c>
      <c r="AF44" s="10">
        <v>2046</v>
      </c>
      <c r="AG44" s="10">
        <v>2047</v>
      </c>
      <c r="AH44" s="10">
        <v>2048</v>
      </c>
      <c r="AI44" s="10">
        <v>2049</v>
      </c>
      <c r="AJ44" s="10">
        <v>2050</v>
      </c>
      <c r="AK44" s="10">
        <v>2051</v>
      </c>
      <c r="AL44" s="10">
        <v>2052</v>
      </c>
      <c r="AM44" s="10">
        <v>2053</v>
      </c>
      <c r="AN44" s="10">
        <v>2054</v>
      </c>
      <c r="AO44" s="10">
        <v>2055</v>
      </c>
      <c r="AP44" s="10">
        <v>2056</v>
      </c>
      <c r="AQ44" s="10">
        <v>2057</v>
      </c>
      <c r="AR44" s="10">
        <v>2058</v>
      </c>
      <c r="AS44" s="10">
        <v>2059</v>
      </c>
      <c r="AT44" s="10">
        <v>2060</v>
      </c>
      <c r="AU44" s="10">
        <v>2061</v>
      </c>
      <c r="AV44" s="10">
        <v>2062</v>
      </c>
      <c r="AW44" s="10">
        <v>2063</v>
      </c>
      <c r="AX44" s="10">
        <v>2064</v>
      </c>
      <c r="AY44" s="10">
        <v>2065</v>
      </c>
      <c r="AZ44" s="10">
        <v>2066</v>
      </c>
      <c r="BA44" s="10">
        <v>2067</v>
      </c>
      <c r="BB44" s="10">
        <v>2068</v>
      </c>
      <c r="BC44" s="10">
        <v>2069</v>
      </c>
      <c r="BD44" s="10">
        <v>2070</v>
      </c>
      <c r="BE44" s="10">
        <v>2071</v>
      </c>
      <c r="BF44" s="10">
        <v>2072</v>
      </c>
      <c r="BG44" s="10">
        <v>2073</v>
      </c>
      <c r="BH44" s="10">
        <v>2074</v>
      </c>
      <c r="BI44" s="10">
        <v>2075</v>
      </c>
      <c r="BJ44" s="10">
        <v>2076</v>
      </c>
      <c r="BK44" s="10">
        <v>2077</v>
      </c>
      <c r="BL44" s="10">
        <v>2078</v>
      </c>
      <c r="BM44" s="10">
        <v>2079</v>
      </c>
      <c r="BN44" s="10">
        <v>2080</v>
      </c>
      <c r="BO44" s="10">
        <v>2081</v>
      </c>
      <c r="BP44" s="10">
        <v>2082</v>
      </c>
      <c r="BQ44" s="10">
        <v>2083</v>
      </c>
      <c r="BR44" s="10">
        <v>2084</v>
      </c>
      <c r="BS44" s="10">
        <v>2085</v>
      </c>
      <c r="BT44" s="10">
        <v>2086</v>
      </c>
      <c r="BU44" s="10">
        <v>2087</v>
      </c>
      <c r="BV44" s="10">
        <v>2088</v>
      </c>
      <c r="BW44" s="10">
        <v>2089</v>
      </c>
      <c r="BX44" s="10">
        <v>2090</v>
      </c>
      <c r="BY44" s="10">
        <v>2091</v>
      </c>
      <c r="BZ44" s="10">
        <v>2092</v>
      </c>
      <c r="CA44" s="10">
        <v>2093</v>
      </c>
      <c r="CB44" s="10">
        <v>2094</v>
      </c>
      <c r="CC44" s="10">
        <v>2095</v>
      </c>
      <c r="CD44" s="10">
        <v>2096</v>
      </c>
      <c r="CE44" s="10">
        <v>2097</v>
      </c>
      <c r="CF44" s="10">
        <v>2098</v>
      </c>
      <c r="CG44" s="10">
        <v>2099</v>
      </c>
      <c r="CH44" s="10">
        <v>2100</v>
      </c>
    </row>
    <row r="45" spans="1:86" s="54" customFormat="1" x14ac:dyDescent="0.25">
      <c r="A45" s="1"/>
      <c r="B45" s="1" t="s">
        <v>22</v>
      </c>
      <c r="C45" s="12">
        <f>50894+12743</f>
        <v>63637</v>
      </c>
      <c r="D45" s="12">
        <f>66202+14568</f>
        <v>80770</v>
      </c>
      <c r="E45" s="12">
        <f>75745+16620</f>
        <v>92365</v>
      </c>
      <c r="F45" s="23">
        <f>156690+64192</f>
        <v>220882</v>
      </c>
      <c r="G45" s="12">
        <f>187803+82266</f>
        <v>270069</v>
      </c>
      <c r="H45" s="12">
        <f>207132+79647</f>
        <v>286779</v>
      </c>
      <c r="I45" s="58">
        <f t="shared" ref="I45:R45" si="24">I46*I11</f>
        <v>583200</v>
      </c>
      <c r="J45" s="71">
        <f t="shared" si="24"/>
        <v>545319</v>
      </c>
      <c r="K45" s="72">
        <f t="shared" si="24"/>
        <v>486240.8616</v>
      </c>
      <c r="L45" s="101">
        <f t="shared" si="24"/>
        <v>518332.75846560008</v>
      </c>
      <c r="M45" s="96">
        <f t="shared" si="24"/>
        <v>552542.72052432969</v>
      </c>
      <c r="N45" s="96">
        <f t="shared" si="24"/>
        <v>589010.54007893545</v>
      </c>
      <c r="O45" s="96">
        <f t="shared" si="24"/>
        <v>627885.2357241452</v>
      </c>
      <c r="P45" s="96">
        <f t="shared" si="24"/>
        <v>669325.6612819389</v>
      </c>
      <c r="Q45" s="96">
        <f t="shared" si="24"/>
        <v>713501.15492654697</v>
      </c>
      <c r="R45" s="96">
        <f t="shared" si="24"/>
        <v>760592.23115169909</v>
      </c>
    </row>
    <row r="46" spans="1:86" s="54" customFormat="1" x14ac:dyDescent="0.25">
      <c r="A46" s="1"/>
      <c r="B46" s="120" t="s">
        <v>18</v>
      </c>
      <c r="C46" s="121">
        <f t="shared" ref="C46:H46" si="25">C45/C11</f>
        <v>6.5467066373402077E-2</v>
      </c>
      <c r="D46" s="121">
        <f t="shared" si="25"/>
        <v>6.9701776156935569E-2</v>
      </c>
      <c r="E46" s="121">
        <f t="shared" si="25"/>
        <v>6.7791024707595474E-2</v>
      </c>
      <c r="F46" s="121">
        <f t="shared" si="25"/>
        <v>9.2804794478820174E-2</v>
      </c>
      <c r="G46" s="121">
        <f t="shared" si="25"/>
        <v>8.6953792003647265E-2</v>
      </c>
      <c r="H46" s="121">
        <f t="shared" si="25"/>
        <v>8.646735105903125E-2</v>
      </c>
      <c r="I46" s="78">
        <v>0.108</v>
      </c>
      <c r="J46" s="60">
        <v>9.5000000000000001E-2</v>
      </c>
      <c r="K46" s="60">
        <v>7.8E-2</v>
      </c>
      <c r="L46" s="108">
        <v>7.8E-2</v>
      </c>
      <c r="M46" s="109">
        <v>7.8E-2</v>
      </c>
      <c r="N46" s="109">
        <v>7.8E-2</v>
      </c>
      <c r="O46" s="109">
        <v>7.8E-2</v>
      </c>
      <c r="P46" s="109">
        <v>7.8E-2</v>
      </c>
      <c r="Q46" s="109">
        <v>7.8E-2</v>
      </c>
      <c r="R46" s="109">
        <v>7.8E-2</v>
      </c>
    </row>
    <row r="47" spans="1:86" s="54" customFormat="1" x14ac:dyDescent="0.25">
      <c r="A47" s="1"/>
      <c r="B47" s="1"/>
      <c r="C47" s="1"/>
      <c r="D47" s="1"/>
      <c r="E47" s="1"/>
      <c r="F47" s="2"/>
      <c r="G47" s="1"/>
      <c r="H47" s="1"/>
      <c r="I47" s="58"/>
      <c r="J47" s="71"/>
      <c r="K47" s="71"/>
      <c r="L47" s="94"/>
      <c r="M47" s="95"/>
      <c r="N47" s="95"/>
      <c r="O47" s="97"/>
      <c r="P47" s="97"/>
      <c r="Q47" s="97"/>
      <c r="R47" s="97"/>
    </row>
    <row r="48" spans="1:86" s="54" customFormat="1" x14ac:dyDescent="0.25">
      <c r="A48" s="1"/>
      <c r="B48" s="1" t="s">
        <v>23</v>
      </c>
      <c r="C48" s="12">
        <v>-138517</v>
      </c>
      <c r="D48" s="12">
        <v>-153438</v>
      </c>
      <c r="E48" s="39">
        <v>-137122</v>
      </c>
      <c r="F48" s="23">
        <v>-136877</v>
      </c>
      <c r="G48" s="12">
        <v>-146337</v>
      </c>
      <c r="H48" s="12">
        <v>-314332</v>
      </c>
      <c r="I48" s="58">
        <f t="shared" ref="I48:R48" si="26">I49*I11</f>
        <v>-545400</v>
      </c>
      <c r="J48" s="71">
        <f t="shared" si="26"/>
        <v>-571723.91999999993</v>
      </c>
      <c r="K48" s="71">
        <f t="shared" si="26"/>
        <v>-604684.14840000006</v>
      </c>
      <c r="L48" s="94">
        <f t="shared" si="26"/>
        <v>-636788.45821598917</v>
      </c>
      <c r="M48" s="95">
        <f t="shared" si="26"/>
        <v>-566710.48258905613</v>
      </c>
      <c r="N48" s="95">
        <f t="shared" si="26"/>
        <v>-604113.3744399338</v>
      </c>
      <c r="O48" s="95">
        <f t="shared" si="26"/>
        <v>-643984.85715296946</v>
      </c>
      <c r="P48" s="95">
        <f t="shared" si="26"/>
        <v>-686487.85772506555</v>
      </c>
      <c r="Q48" s="95">
        <f t="shared" si="26"/>
        <v>-731796.05633491999</v>
      </c>
      <c r="R48" s="95">
        <f t="shared" si="26"/>
        <v>-780094.59605302464</v>
      </c>
    </row>
    <row r="49" spans="1:86" s="54" customFormat="1" x14ac:dyDescent="0.25">
      <c r="A49" s="1"/>
      <c r="B49" s="120" t="s">
        <v>18</v>
      </c>
      <c r="C49" s="121">
        <f t="shared" ref="C49:H49" si="27">C48/C11</f>
        <v>-0.14250045779726475</v>
      </c>
      <c r="D49" s="121">
        <f t="shared" si="27"/>
        <v>-0.13241180054435905</v>
      </c>
      <c r="E49" s="121">
        <f t="shared" si="27"/>
        <v>-0.10064029545774814</v>
      </c>
      <c r="F49" s="121">
        <f t="shared" si="27"/>
        <v>-5.7509628914431545E-2</v>
      </c>
      <c r="G49" s="121">
        <f t="shared" si="27"/>
        <v>-4.7115948370371016E-2</v>
      </c>
      <c r="H49" s="121">
        <f t="shared" si="27"/>
        <v>-9.4774915154482761E-2</v>
      </c>
      <c r="I49" s="128">
        <v>-0.10100000000000001</v>
      </c>
      <c r="J49" s="129">
        <v>-9.9599999999999994E-2</v>
      </c>
      <c r="K49" s="129">
        <v>-9.7000000000000003E-2</v>
      </c>
      <c r="L49" s="108">
        <v>-9.5825507706442881E-2</v>
      </c>
      <c r="M49" s="109">
        <v>-0.08</v>
      </c>
      <c r="N49" s="109">
        <v>-0.08</v>
      </c>
      <c r="O49" s="109">
        <v>-0.08</v>
      </c>
      <c r="P49" s="109">
        <v>-0.08</v>
      </c>
      <c r="Q49" s="109">
        <v>-0.08</v>
      </c>
      <c r="R49" s="109">
        <v>-0.08</v>
      </c>
    </row>
    <row r="50" spans="1:86" s="54" customFormat="1" x14ac:dyDescent="0.25">
      <c r="A50" s="1"/>
      <c r="B50" s="1"/>
      <c r="C50" s="1"/>
      <c r="D50" s="1"/>
      <c r="E50" s="1"/>
      <c r="F50" s="2"/>
      <c r="G50" s="1"/>
      <c r="H50" s="1"/>
      <c r="I50" s="58"/>
      <c r="J50" s="71"/>
      <c r="K50" s="71"/>
      <c r="L50" s="94"/>
      <c r="M50" s="95"/>
      <c r="N50" s="95"/>
      <c r="O50" s="97"/>
      <c r="P50" s="97"/>
      <c r="Q50" s="97"/>
      <c r="R50" s="97"/>
    </row>
    <row r="51" spans="1:86" s="54" customFormat="1" x14ac:dyDescent="0.25">
      <c r="A51" s="1"/>
      <c r="B51" s="1" t="s">
        <v>24</v>
      </c>
      <c r="C51" s="1">
        <v>51780</v>
      </c>
      <c r="D51" s="1">
        <v>33430</v>
      </c>
      <c r="E51" s="1">
        <v>61670</v>
      </c>
      <c r="F51" s="2">
        <v>356790</v>
      </c>
      <c r="G51" s="1">
        <v>76410</v>
      </c>
      <c r="H51" s="1">
        <f>(95.88*1000000)/1000</f>
        <v>95880</v>
      </c>
      <c r="I51" s="61">
        <f t="shared" ref="I51:R51" si="28">I52*I11</f>
        <v>486000</v>
      </c>
      <c r="J51" s="72">
        <f t="shared" si="28"/>
        <v>154985.4</v>
      </c>
      <c r="K51" s="72">
        <f t="shared" si="28"/>
        <v>155846.43000000002</v>
      </c>
      <c r="L51" s="101">
        <f t="shared" si="28"/>
        <v>199358.75325600003</v>
      </c>
      <c r="M51" s="96">
        <f t="shared" si="28"/>
        <v>212516.43097089604</v>
      </c>
      <c r="N51" s="96">
        <f t="shared" si="28"/>
        <v>226542.51541497518</v>
      </c>
      <c r="O51" s="96">
        <f t="shared" si="28"/>
        <v>241494.32143236353</v>
      </c>
      <c r="P51" s="96">
        <f t="shared" si="28"/>
        <v>257432.94664689957</v>
      </c>
      <c r="Q51" s="96">
        <f t="shared" si="28"/>
        <v>274423.52112559497</v>
      </c>
      <c r="R51" s="96">
        <f t="shared" si="28"/>
        <v>292535.47351988422</v>
      </c>
    </row>
    <row r="52" spans="1:86" s="54" customFormat="1" x14ac:dyDescent="0.25">
      <c r="A52" s="1"/>
      <c r="B52" s="120" t="s">
        <v>18</v>
      </c>
      <c r="C52" s="121">
        <f t="shared" ref="C52:H52" si="29">C51/C11</f>
        <v>5.3269083973392209E-2</v>
      </c>
      <c r="D52" s="121">
        <f t="shared" si="29"/>
        <v>2.8848958486150256E-2</v>
      </c>
      <c r="E52" s="121">
        <f t="shared" si="29"/>
        <v>4.5262518201888299E-2</v>
      </c>
      <c r="F52" s="121">
        <f t="shared" si="29"/>
        <v>0.14990729268160488</v>
      </c>
      <c r="G52" s="121">
        <f t="shared" si="29"/>
        <v>2.4601636052263263E-2</v>
      </c>
      <c r="H52" s="121">
        <f t="shared" si="29"/>
        <v>2.8908984338253209E-2</v>
      </c>
      <c r="I52" s="130">
        <v>0.09</v>
      </c>
      <c r="J52" s="131">
        <v>2.7E-2</v>
      </c>
      <c r="K52" s="131">
        <v>2.5000000000000001E-2</v>
      </c>
      <c r="L52" s="106">
        <v>0.03</v>
      </c>
      <c r="M52" s="107">
        <v>0.03</v>
      </c>
      <c r="N52" s="107">
        <v>0.03</v>
      </c>
      <c r="O52" s="107">
        <v>0.03</v>
      </c>
      <c r="P52" s="107">
        <v>0.03</v>
      </c>
      <c r="Q52" s="107">
        <v>0.03</v>
      </c>
      <c r="R52" s="107">
        <v>0.03</v>
      </c>
    </row>
    <row r="53" spans="1:86" s="54" customFormat="1" x14ac:dyDescent="0.25">
      <c r="A53" s="1"/>
      <c r="B53" s="1"/>
      <c r="C53" s="1"/>
      <c r="D53" s="1"/>
      <c r="E53" s="1"/>
      <c r="F53" s="1"/>
      <c r="G53" s="1"/>
      <c r="H53" s="1"/>
      <c r="I53" s="58"/>
      <c r="J53" s="71"/>
      <c r="K53" s="71"/>
      <c r="L53" s="94"/>
      <c r="M53" s="95"/>
      <c r="N53" s="95"/>
      <c r="O53" s="95"/>
      <c r="P53" s="95"/>
      <c r="Q53" s="95"/>
      <c r="R53" s="97"/>
    </row>
    <row r="54" spans="1:86" s="54" customFormat="1" x14ac:dyDescent="0.25">
      <c r="A54" s="1"/>
      <c r="B54" s="10" t="s">
        <v>25</v>
      </c>
      <c r="C54" s="12">
        <f t="shared" ref="C54:I54" si="30">C38-C41</f>
        <v>92042</v>
      </c>
      <c r="D54" s="12">
        <f t="shared" si="30"/>
        <v>102571</v>
      </c>
      <c r="E54" s="12">
        <f t="shared" si="30"/>
        <v>127372</v>
      </c>
      <c r="F54" s="12">
        <f t="shared" si="30"/>
        <v>36378</v>
      </c>
      <c r="G54" s="12">
        <f t="shared" si="30"/>
        <v>347081</v>
      </c>
      <c r="H54" s="12">
        <f t="shared" si="30"/>
        <v>367246</v>
      </c>
      <c r="I54" s="63">
        <f t="shared" si="30"/>
        <v>654383.88000000012</v>
      </c>
      <c r="J54" s="73">
        <f t="shared" ref="J54:R54" si="31">J38-J41</f>
        <v>670750.40628000011</v>
      </c>
      <c r="K54" s="73">
        <f t="shared" si="31"/>
        <v>744933.46768559993</v>
      </c>
      <c r="L54" s="104">
        <f t="shared" si="31"/>
        <v>666722.12380581629</v>
      </c>
      <c r="M54" s="105">
        <f t="shared" si="31"/>
        <v>710725.78397699981</v>
      </c>
      <c r="N54" s="105">
        <f t="shared" si="31"/>
        <v>757633.68571948214</v>
      </c>
      <c r="O54" s="105">
        <f t="shared" si="31"/>
        <v>807637.50897696812</v>
      </c>
      <c r="P54" s="105">
        <f t="shared" si="31"/>
        <v>860941.58456944791</v>
      </c>
      <c r="Q54" s="105">
        <f t="shared" si="31"/>
        <v>917763.72915103158</v>
      </c>
      <c r="R54" s="105">
        <f t="shared" si="31"/>
        <v>978336.13527499977</v>
      </c>
    </row>
    <row r="55" spans="1:86" s="54" customFormat="1" x14ac:dyDescent="0.25">
      <c r="A55" s="1"/>
      <c r="B55" s="10" t="s">
        <v>26</v>
      </c>
      <c r="C55" s="12">
        <f t="shared" ref="C55:R55" si="32">C36-C41</f>
        <v>95274</v>
      </c>
      <c r="D55" s="12">
        <f t="shared" si="32"/>
        <v>88002</v>
      </c>
      <c r="E55" s="12">
        <f t="shared" si="32"/>
        <v>107517</v>
      </c>
      <c r="F55" s="12">
        <f t="shared" si="32"/>
        <v>-67029</v>
      </c>
      <c r="G55" s="12">
        <f t="shared" si="32"/>
        <v>297552</v>
      </c>
      <c r="H55" s="12">
        <f t="shared" si="32"/>
        <v>234759</v>
      </c>
      <c r="I55" s="63">
        <f>I36-I41</f>
        <v>567983.88000000012</v>
      </c>
      <c r="J55" s="73">
        <f>J36-J41</f>
        <v>573167.00628000009</v>
      </c>
      <c r="K55" s="73">
        <f t="shared" si="32"/>
        <v>638957.89528559987</v>
      </c>
      <c r="L55" s="104">
        <f t="shared" si="32"/>
        <v>447427.49522421625</v>
      </c>
      <c r="M55" s="105">
        <f t="shared" si="32"/>
        <v>476957.70990901423</v>
      </c>
      <c r="N55" s="105">
        <f t="shared" si="32"/>
        <v>508436.91876300948</v>
      </c>
      <c r="O55" s="105">
        <f t="shared" si="32"/>
        <v>541993.75540136825</v>
      </c>
      <c r="P55" s="105">
        <f t="shared" si="32"/>
        <v>577765.34325785842</v>
      </c>
      <c r="Q55" s="105">
        <f t="shared" si="32"/>
        <v>615897.85591287713</v>
      </c>
      <c r="R55" s="105">
        <f t="shared" si="32"/>
        <v>656547.11440312711</v>
      </c>
      <c r="S55" s="55">
        <f>R55*(1+$E$6)</f>
        <v>649981.64325909584</v>
      </c>
      <c r="T55" s="55">
        <f t="shared" ref="T55:CE55" si="33">S55*(1+$E$6)</f>
        <v>643481.8268265049</v>
      </c>
      <c r="U55" s="55">
        <f t="shared" si="33"/>
        <v>637047.00855823979</v>
      </c>
      <c r="V55" s="55">
        <f t="shared" si="33"/>
        <v>630676.53847265744</v>
      </c>
      <c r="W55" s="55">
        <f t="shared" si="33"/>
        <v>624369.77308793087</v>
      </c>
      <c r="X55" s="55">
        <f t="shared" si="33"/>
        <v>618126.07535705157</v>
      </c>
      <c r="Y55" s="55">
        <f t="shared" si="33"/>
        <v>611944.81460348109</v>
      </c>
      <c r="Z55" s="55">
        <f t="shared" si="33"/>
        <v>605825.36645744625</v>
      </c>
      <c r="AA55" s="55">
        <f t="shared" si="33"/>
        <v>599767.11279287178</v>
      </c>
      <c r="AB55" s="55">
        <f t="shared" si="33"/>
        <v>593769.44166494301</v>
      </c>
      <c r="AC55" s="55">
        <f t="shared" si="33"/>
        <v>587831.7472482936</v>
      </c>
      <c r="AD55" s="55">
        <f t="shared" si="33"/>
        <v>581953.42977581068</v>
      </c>
      <c r="AE55" s="55">
        <f t="shared" si="33"/>
        <v>576133.89547805255</v>
      </c>
      <c r="AF55" s="55">
        <f t="shared" si="33"/>
        <v>570372.55652327207</v>
      </c>
      <c r="AG55" s="55">
        <f t="shared" si="33"/>
        <v>564668.83095803938</v>
      </c>
      <c r="AH55" s="55">
        <f t="shared" si="33"/>
        <v>559022.14264845895</v>
      </c>
      <c r="AI55" s="55">
        <f t="shared" si="33"/>
        <v>553431.92122197431</v>
      </c>
      <c r="AJ55" s="55">
        <f t="shared" si="33"/>
        <v>547897.60200975451</v>
      </c>
      <c r="AK55" s="55">
        <f t="shared" si="33"/>
        <v>542418.62598965701</v>
      </c>
      <c r="AL55" s="55">
        <f t="shared" si="33"/>
        <v>536994.4397297604</v>
      </c>
      <c r="AM55" s="55">
        <f t="shared" si="33"/>
        <v>531624.49533246283</v>
      </c>
      <c r="AN55" s="55">
        <f t="shared" si="33"/>
        <v>526308.25037913816</v>
      </c>
      <c r="AO55" s="55">
        <f t="shared" si="33"/>
        <v>521045.16787534679</v>
      </c>
      <c r="AP55" s="55">
        <f t="shared" si="33"/>
        <v>515834.7161965933</v>
      </c>
      <c r="AQ55" s="55">
        <f t="shared" si="33"/>
        <v>510676.36903462739</v>
      </c>
      <c r="AR55" s="55">
        <f t="shared" si="33"/>
        <v>505569.60534428112</v>
      </c>
      <c r="AS55" s="55">
        <f t="shared" si="33"/>
        <v>500513.90929083829</v>
      </c>
      <c r="AT55" s="55">
        <f t="shared" si="33"/>
        <v>495508.77019792987</v>
      </c>
      <c r="AU55" s="55">
        <f t="shared" si="33"/>
        <v>490553.68249595055</v>
      </c>
      <c r="AV55" s="55">
        <f t="shared" si="33"/>
        <v>485648.14567099104</v>
      </c>
      <c r="AW55" s="55">
        <f t="shared" si="33"/>
        <v>480791.66421428113</v>
      </c>
      <c r="AX55" s="55">
        <f t="shared" si="33"/>
        <v>475983.74757213832</v>
      </c>
      <c r="AY55" s="55">
        <f t="shared" si="33"/>
        <v>471223.91009641695</v>
      </c>
      <c r="AZ55" s="55">
        <f t="shared" si="33"/>
        <v>466511.67099545279</v>
      </c>
      <c r="BA55" s="55">
        <f t="shared" si="33"/>
        <v>461846.55428549828</v>
      </c>
      <c r="BB55" s="55">
        <f t="shared" si="33"/>
        <v>457228.0887426433</v>
      </c>
      <c r="BC55" s="55">
        <f t="shared" si="33"/>
        <v>452655.80785521684</v>
      </c>
      <c r="BD55" s="55">
        <f t="shared" si="33"/>
        <v>448129.24977666466</v>
      </c>
      <c r="BE55" s="55">
        <f t="shared" si="33"/>
        <v>443647.95727889799</v>
      </c>
      <c r="BF55" s="55">
        <f t="shared" si="33"/>
        <v>439211.477706109</v>
      </c>
      <c r="BG55" s="55">
        <f t="shared" si="33"/>
        <v>434819.3629290479</v>
      </c>
      <c r="BH55" s="55">
        <f t="shared" si="33"/>
        <v>430471.1692997574</v>
      </c>
      <c r="BI55" s="55">
        <f t="shared" si="33"/>
        <v>426166.4576067598</v>
      </c>
      <c r="BJ55" s="55">
        <f t="shared" si="33"/>
        <v>421904.79303069221</v>
      </c>
      <c r="BK55" s="55">
        <f t="shared" si="33"/>
        <v>417685.74510038528</v>
      </c>
      <c r="BL55" s="55">
        <f t="shared" si="33"/>
        <v>413508.88764938142</v>
      </c>
      <c r="BM55" s="55">
        <f t="shared" si="33"/>
        <v>409373.79877288762</v>
      </c>
      <c r="BN55" s="55">
        <f t="shared" si="33"/>
        <v>405280.06078515871</v>
      </c>
      <c r="BO55" s="55">
        <f t="shared" si="33"/>
        <v>401227.26017730712</v>
      </c>
      <c r="BP55" s="55">
        <f t="shared" si="33"/>
        <v>397214.98757553403</v>
      </c>
      <c r="BQ55" s="55">
        <f t="shared" si="33"/>
        <v>393242.83769977867</v>
      </c>
      <c r="BR55" s="55">
        <f t="shared" si="33"/>
        <v>389310.40932278091</v>
      </c>
      <c r="BS55" s="55">
        <f t="shared" si="33"/>
        <v>385417.30522955308</v>
      </c>
      <c r="BT55" s="55">
        <f t="shared" si="33"/>
        <v>381563.13217725756</v>
      </c>
      <c r="BU55" s="55">
        <f t="shared" si="33"/>
        <v>377747.50085548498</v>
      </c>
      <c r="BV55" s="55">
        <f t="shared" si="33"/>
        <v>373970.0258469301</v>
      </c>
      <c r="BW55" s="55">
        <f t="shared" si="33"/>
        <v>370230.32558846078</v>
      </c>
      <c r="BX55" s="55">
        <f t="shared" si="33"/>
        <v>366528.02233257616</v>
      </c>
      <c r="BY55" s="55">
        <f t="shared" si="33"/>
        <v>362862.74210925039</v>
      </c>
      <c r="BZ55" s="55">
        <f t="shared" si="33"/>
        <v>359234.11468815786</v>
      </c>
      <c r="CA55" s="55">
        <f t="shared" si="33"/>
        <v>355641.77354127628</v>
      </c>
      <c r="CB55" s="55">
        <f t="shared" si="33"/>
        <v>352085.35580586351</v>
      </c>
      <c r="CC55" s="55">
        <f t="shared" si="33"/>
        <v>348564.50224780489</v>
      </c>
      <c r="CD55" s="55">
        <f t="shared" si="33"/>
        <v>345078.85722532682</v>
      </c>
      <c r="CE55" s="55">
        <f t="shared" si="33"/>
        <v>341628.06865307357</v>
      </c>
      <c r="CF55" s="55">
        <f t="shared" ref="CF55:CH55" si="34">CE55*(1+$E$6)</f>
        <v>338211.78796654282</v>
      </c>
      <c r="CG55" s="55">
        <f t="shared" si="34"/>
        <v>334829.67008687736</v>
      </c>
      <c r="CH55" s="55">
        <f t="shared" si="34"/>
        <v>331481.37338600861</v>
      </c>
    </row>
    <row r="56" spans="1:86" s="54" customFormat="1" x14ac:dyDescent="0.25">
      <c r="A56" s="1"/>
      <c r="B56" s="6"/>
      <c r="C56" s="12"/>
      <c r="D56" s="12"/>
      <c r="E56" s="12"/>
      <c r="F56" s="12"/>
      <c r="G56" s="12"/>
      <c r="H56" s="12"/>
      <c r="I56" s="58"/>
      <c r="J56" s="71"/>
      <c r="K56" s="71"/>
      <c r="L56" s="94"/>
      <c r="M56" s="95"/>
      <c r="N56" s="95"/>
      <c r="O56" s="95"/>
      <c r="P56" s="95"/>
      <c r="Q56" s="95"/>
      <c r="R56" s="97"/>
    </row>
    <row r="57" spans="1:86" s="54" customFormat="1" x14ac:dyDescent="0.25">
      <c r="A57" s="1"/>
      <c r="B57" s="10" t="s">
        <v>27</v>
      </c>
      <c r="C57" s="24">
        <f t="shared" ref="C57:G57" si="35">C54+C45-C48-C51</f>
        <v>242416</v>
      </c>
      <c r="D57" s="24">
        <f t="shared" si="35"/>
        <v>303349</v>
      </c>
      <c r="E57" s="24">
        <f t="shared" si="35"/>
        <v>295189</v>
      </c>
      <c r="F57" s="24">
        <f t="shared" si="35"/>
        <v>37347</v>
      </c>
      <c r="G57" s="24">
        <f t="shared" si="35"/>
        <v>687077</v>
      </c>
      <c r="H57" s="24">
        <f>H54+H45-H48-H51</f>
        <v>872477</v>
      </c>
      <c r="I57" s="63">
        <f>I54+I45+I48-I51</f>
        <v>206183.88000000012</v>
      </c>
      <c r="J57" s="73">
        <f t="shared" ref="J57:R57" si="36">J54+J45+J48-J51</f>
        <v>489360.08628000028</v>
      </c>
      <c r="K57" s="73">
        <f t="shared" si="36"/>
        <v>470643.75088559987</v>
      </c>
      <c r="L57" s="104">
        <f t="shared" si="36"/>
        <v>348907.67079942732</v>
      </c>
      <c r="M57" s="105">
        <f t="shared" si="36"/>
        <v>484041.59094137733</v>
      </c>
      <c r="N57" s="105">
        <f t="shared" si="36"/>
        <v>515988.3359435086</v>
      </c>
      <c r="O57" s="105">
        <f t="shared" si="36"/>
        <v>550043.56611578027</v>
      </c>
      <c r="P57" s="105">
        <f t="shared" si="36"/>
        <v>586346.44147942169</v>
      </c>
      <c r="Q57" s="105">
        <f t="shared" si="36"/>
        <v>625045.30661706359</v>
      </c>
      <c r="R57" s="105">
        <f t="shared" si="36"/>
        <v>666298.29685379006</v>
      </c>
    </row>
    <row r="58" spans="1:86" s="54" customFormat="1" x14ac:dyDescent="0.25">
      <c r="A58" s="1"/>
      <c r="B58" s="25" t="s">
        <v>28</v>
      </c>
      <c r="C58" s="1"/>
      <c r="D58" s="1"/>
      <c r="E58" s="1"/>
      <c r="F58" s="1"/>
      <c r="G58" s="1"/>
      <c r="H58" s="1"/>
      <c r="I58" s="82">
        <f t="shared" ref="I58:R58" si="37">I57/((1+$E$5)^I9)</f>
        <v>185604.82385960445</v>
      </c>
      <c r="J58" s="62">
        <f t="shared" si="37"/>
        <v>396549.71923983411</v>
      </c>
      <c r="K58" s="62">
        <f t="shared" si="37"/>
        <v>343317.50728045509</v>
      </c>
      <c r="L58" s="111">
        <f t="shared" si="37"/>
        <v>229112.46766592053</v>
      </c>
      <c r="M58" s="112">
        <f t="shared" si="37"/>
        <v>286124.75669049716</v>
      </c>
      <c r="N58" s="112">
        <f t="shared" si="37"/>
        <v>274566.2754132917</v>
      </c>
      <c r="O58" s="112">
        <f t="shared" si="37"/>
        <v>263474.71804361796</v>
      </c>
      <c r="P58" s="112">
        <f t="shared" si="37"/>
        <v>252831.22242041893</v>
      </c>
      <c r="Q58" s="112">
        <f t="shared" si="37"/>
        <v>242617.68835073151</v>
      </c>
      <c r="R58" s="112">
        <f t="shared" si="37"/>
        <v>232816.74682872882</v>
      </c>
    </row>
    <row r="59" spans="1:86" x14ac:dyDescent="0.25">
      <c r="A59" s="1"/>
      <c r="B59" s="26"/>
      <c r="C59" s="26"/>
      <c r="D59" s="26"/>
      <c r="E59" s="26"/>
      <c r="F59" s="26"/>
      <c r="G59" s="26"/>
      <c r="H59" s="26"/>
      <c r="I59" s="27"/>
      <c r="J59" s="26"/>
      <c r="K59" s="26"/>
      <c r="L59" s="57"/>
      <c r="M59" s="26"/>
      <c r="N59" s="26"/>
      <c r="O59" s="26"/>
      <c r="P59" s="26"/>
      <c r="Q59" s="26"/>
      <c r="R59" s="26"/>
    </row>
    <row r="60" spans="1:86" x14ac:dyDescent="0.25">
      <c r="A60" s="1"/>
      <c r="B60" s="1" t="s">
        <v>29</v>
      </c>
      <c r="C60" s="28">
        <f>(R57*(1+$E$6))/($E$5-$E$6)</f>
        <v>5457139.5870077675</v>
      </c>
      <c r="D60" s="1"/>
      <c r="E60" s="1" t="s">
        <v>30</v>
      </c>
      <c r="F60" s="19">
        <f>NPV($E$5,I55:CH55)</f>
        <v>5143543.7147779642</v>
      </c>
      <c r="G60" s="1"/>
      <c r="H60" s="1"/>
      <c r="I60" s="16"/>
      <c r="J60" s="1"/>
      <c r="K60" s="1"/>
      <c r="L60" s="57"/>
      <c r="M60" s="1"/>
      <c r="N60" s="1"/>
      <c r="O60" s="1"/>
      <c r="P60" s="1"/>
      <c r="Q60" s="1"/>
    </row>
    <row r="61" spans="1:86" x14ac:dyDescent="0.25">
      <c r="A61" s="1"/>
      <c r="B61" s="3" t="s">
        <v>31</v>
      </c>
      <c r="C61" s="29">
        <f>C60/((1+$E$5)^$R$9)</f>
        <v>1906823.8529749953</v>
      </c>
      <c r="D61" s="17"/>
      <c r="E61" s="3"/>
      <c r="F61" s="3"/>
      <c r="G61" s="3"/>
      <c r="H61" s="17"/>
      <c r="I61" s="13"/>
      <c r="L61" s="69" t="s">
        <v>55</v>
      </c>
      <c r="M61" s="84"/>
      <c r="N61" s="84"/>
      <c r="O61" s="84"/>
      <c r="P61" s="84"/>
      <c r="Q61" s="69"/>
      <c r="R61" s="83"/>
    </row>
    <row r="62" spans="1:86" x14ac:dyDescent="0.25">
      <c r="A62" s="1"/>
      <c r="B62" s="6" t="s">
        <v>32</v>
      </c>
      <c r="C62" s="6"/>
      <c r="D62" s="1"/>
      <c r="E62" s="6"/>
      <c r="F62" s="6"/>
      <c r="G62" s="30" t="s">
        <v>33</v>
      </c>
      <c r="H62" s="30" t="s">
        <v>30</v>
      </c>
      <c r="I62" s="16"/>
      <c r="K62" s="69"/>
      <c r="L62" s="85">
        <f>E68</f>
        <v>50.789548041059966</v>
      </c>
      <c r="M62" s="86">
        <v>-0.03</v>
      </c>
      <c r="N62" s="86">
        <v>-0.02</v>
      </c>
      <c r="O62" s="86">
        <v>-0.01</v>
      </c>
      <c r="P62" s="86">
        <v>0.01</v>
      </c>
      <c r="Q62" s="86">
        <v>0.03</v>
      </c>
    </row>
    <row r="63" spans="1:86" x14ac:dyDescent="0.25">
      <c r="A63" s="1"/>
      <c r="B63" s="31" t="s">
        <v>34</v>
      </c>
      <c r="C63" s="1"/>
      <c r="D63" s="23">
        <v>2582371</v>
      </c>
      <c r="E63" s="1"/>
      <c r="F63" s="1"/>
      <c r="G63" s="28">
        <f>C61+SUM(I58:R58)</f>
        <v>4613839.7787680952</v>
      </c>
      <c r="H63" s="19">
        <f>F60</f>
        <v>5143543.7147779642</v>
      </c>
      <c r="I63" s="16"/>
      <c r="K63" s="69"/>
      <c r="L63" s="87">
        <f>L64-2%</f>
        <v>7.0875653511905154E-2</v>
      </c>
      <c r="M63" s="88">
        <f t="dataTable" ref="M63:Q67" dt2D="1" dtr="1" r1="E6" r2="E5"/>
        <v>64.674416074783679</v>
      </c>
      <c r="N63" s="88">
        <v>67.460706350050231</v>
      </c>
      <c r="O63" s="88">
        <v>70.9184089612653</v>
      </c>
      <c r="P63" s="88">
        <v>81.058950826080903</v>
      </c>
      <c r="Q63" s="88">
        <v>99.956406292167657</v>
      </c>
    </row>
    <row r="64" spans="1:86" x14ac:dyDescent="0.25">
      <c r="A64" s="1"/>
      <c r="B64" s="32" t="s">
        <v>35</v>
      </c>
      <c r="C64" s="3"/>
      <c r="D64" s="40">
        <v>403212</v>
      </c>
      <c r="E64" s="3"/>
      <c r="F64" s="3"/>
      <c r="G64" s="3"/>
      <c r="H64" s="3"/>
      <c r="I64" s="16"/>
      <c r="K64" s="84"/>
      <c r="L64" s="87">
        <f>L65-2%</f>
        <v>9.0875653511905158E-2</v>
      </c>
      <c r="M64" s="88">
        <v>55.236129858479337</v>
      </c>
      <c r="N64" s="89">
        <v>56.85626523796617</v>
      </c>
      <c r="O64" s="89">
        <v>58.794279381496949</v>
      </c>
      <c r="P64" s="89">
        <v>64.075583546888438</v>
      </c>
      <c r="Q64" s="88">
        <v>72.642167029401421</v>
      </c>
    </row>
    <row r="65" spans="1:17" x14ac:dyDescent="0.25">
      <c r="A65" s="1"/>
      <c r="B65" s="6" t="s">
        <v>36</v>
      </c>
      <c r="C65" s="6"/>
      <c r="D65" s="6"/>
      <c r="E65" s="6"/>
      <c r="F65" s="6"/>
      <c r="G65" s="33">
        <f>G63+D63-D64</f>
        <v>6792998.7787680952</v>
      </c>
      <c r="H65" s="34">
        <f>H63+D63-D64</f>
        <v>7322702.7147779642</v>
      </c>
      <c r="I65" s="16"/>
      <c r="K65" s="69" t="s">
        <v>1</v>
      </c>
      <c r="L65" s="90">
        <v>0.11087565351190516</v>
      </c>
      <c r="M65" s="88">
        <v>48.62172743107115</v>
      </c>
      <c r="N65" s="89">
        <v>49.623129504374234</v>
      </c>
      <c r="O65" s="91">
        <v>50.789548041059966</v>
      </c>
      <c r="P65" s="89">
        <v>53.809845139305629</v>
      </c>
      <c r="Q65" s="88">
        <v>58.290193367829815</v>
      </c>
    </row>
    <row r="66" spans="1:17" x14ac:dyDescent="0.25">
      <c r="A66" s="1"/>
      <c r="B66" s="3" t="s">
        <v>37</v>
      </c>
      <c r="C66" s="3"/>
      <c r="D66" s="93">
        <f>138962661/1000</f>
        <v>138962.66099999999</v>
      </c>
      <c r="E66" s="3"/>
      <c r="F66" s="3"/>
      <c r="G66" s="3"/>
      <c r="H66" s="35"/>
      <c r="I66" s="16"/>
      <c r="K66" s="69"/>
      <c r="L66" s="92">
        <f>L65+2%</f>
        <v>0.13087565351190517</v>
      </c>
      <c r="M66" s="88">
        <v>43.761585562166871</v>
      </c>
      <c r="N66" s="89">
        <v>44.409686072505082</v>
      </c>
      <c r="O66" s="89">
        <v>45.149652918965252</v>
      </c>
      <c r="P66" s="89">
        <v>46.9955792808571</v>
      </c>
      <c r="Q66" s="88">
        <v>49.566739914964543</v>
      </c>
    </row>
    <row r="67" spans="1:17" x14ac:dyDescent="0.25">
      <c r="A67" s="1"/>
      <c r="B67" s="18" t="s">
        <v>38</v>
      </c>
      <c r="C67" s="18"/>
      <c r="D67" s="18">
        <f>D66*$J$5</f>
        <v>4735847.4868799997</v>
      </c>
      <c r="E67" s="18"/>
      <c r="F67" s="18"/>
      <c r="G67" s="18"/>
      <c r="H67" s="36"/>
      <c r="I67" s="1"/>
      <c r="K67" s="69"/>
      <c r="L67" s="92">
        <f>L66+2%</f>
        <v>0.15087565351190516</v>
      </c>
      <c r="M67" s="88">
        <v>40.059640572847279</v>
      </c>
      <c r="N67" s="88">
        <v>40.494384221369387</v>
      </c>
      <c r="O67" s="88">
        <v>40.983142918704985</v>
      </c>
      <c r="P67" s="88">
        <v>42.168539844294443</v>
      </c>
      <c r="Q67" s="88">
        <v>43.74477642654351</v>
      </c>
    </row>
    <row r="68" spans="1:17" x14ac:dyDescent="0.25">
      <c r="A68" s="1"/>
      <c r="B68" s="6" t="s">
        <v>39</v>
      </c>
      <c r="D68" s="6" t="s">
        <v>40</v>
      </c>
      <c r="E68" s="37">
        <f>(G68+H68)/2</f>
        <v>50.789548041059966</v>
      </c>
      <c r="F68" s="6"/>
      <c r="G68" s="37">
        <f>G65/D66</f>
        <v>48.883626219334531</v>
      </c>
      <c r="H68" s="38">
        <f>H65/D66</f>
        <v>52.695469862785401</v>
      </c>
      <c r="I68" s="16"/>
      <c r="J68" s="1"/>
      <c r="K68" s="1"/>
      <c r="L68" s="57"/>
      <c r="M68" s="1"/>
      <c r="N68" s="1"/>
      <c r="O68" s="1"/>
      <c r="P68" s="1"/>
      <c r="Q68" s="1"/>
    </row>
    <row r="69" spans="1:17" x14ac:dyDescent="0.25">
      <c r="B69" s="42"/>
      <c r="C69" s="42"/>
      <c r="D69" s="42"/>
      <c r="E69" s="42"/>
      <c r="F69" s="42"/>
      <c r="G69" s="42"/>
      <c r="H69" s="42"/>
      <c r="I69" s="22"/>
    </row>
  </sheetData>
  <sortState xmlns:xlrd2="http://schemas.microsoft.com/office/spreadsheetml/2017/richdata2" columnSort="1" ref="C10:H58">
    <sortCondition ref="C10:H1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550DA-B624-4752-9D51-D896479F0D02}">
  <dimension ref="A1:L15"/>
  <sheetViews>
    <sheetView workbookViewId="0">
      <selection activeCell="G9" sqref="G9"/>
    </sheetView>
  </sheetViews>
  <sheetFormatPr defaultRowHeight="15" x14ac:dyDescent="0.25"/>
  <sheetData>
    <row r="1" spans="1:12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23.25" x14ac:dyDescent="0.35">
      <c r="A2" s="2"/>
      <c r="B2" s="41" t="s">
        <v>1</v>
      </c>
      <c r="C2" s="2"/>
      <c r="D2" s="2"/>
      <c r="E2" s="2"/>
      <c r="F2" s="2"/>
      <c r="G2" s="2"/>
      <c r="H2" s="2"/>
      <c r="I2" s="2"/>
      <c r="J2" s="2"/>
      <c r="K2" s="2"/>
      <c r="L2" s="42"/>
    </row>
    <row r="3" spans="1:12" x14ac:dyDescent="0.25">
      <c r="A3" s="43"/>
      <c r="B3" s="43"/>
      <c r="C3" s="43"/>
      <c r="D3" s="43"/>
      <c r="E3" s="43"/>
      <c r="F3" s="43"/>
      <c r="G3" s="43"/>
      <c r="H3" s="43"/>
      <c r="I3" s="43"/>
      <c r="J3" s="43"/>
      <c r="K3" s="43"/>
      <c r="L3" s="2"/>
    </row>
    <row r="4" spans="1:12" x14ac:dyDescent="0.25">
      <c r="A4" s="44" t="s">
        <v>43</v>
      </c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</row>
    <row r="5" spans="1:12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25">
      <c r="A6" s="2"/>
      <c r="B6" s="2" t="s">
        <v>44</v>
      </c>
      <c r="C6" s="2"/>
      <c r="D6" s="45">
        <f>'COHR DCF'!I42</f>
        <v>0.19800000000000001</v>
      </c>
      <c r="E6" s="2"/>
      <c r="F6" s="2"/>
      <c r="G6" s="2"/>
      <c r="H6" s="2"/>
      <c r="I6" s="2"/>
      <c r="J6" s="2"/>
      <c r="K6" s="2"/>
      <c r="L6" s="2"/>
    </row>
    <row r="7" spans="1:12" x14ac:dyDescent="0.25">
      <c r="A7" s="2"/>
      <c r="B7" s="2" t="s">
        <v>45</v>
      </c>
      <c r="C7" s="2"/>
      <c r="D7" s="45">
        <v>5.0999999999999997E-2</v>
      </c>
      <c r="E7" s="2"/>
      <c r="F7" s="2"/>
      <c r="G7" s="2"/>
      <c r="H7" s="2"/>
      <c r="I7" s="2"/>
      <c r="J7" s="2"/>
      <c r="K7" s="2"/>
      <c r="L7" s="2"/>
    </row>
    <row r="8" spans="1:12" x14ac:dyDescent="0.25">
      <c r="A8" s="2"/>
      <c r="B8" s="2" t="s">
        <v>46</v>
      </c>
      <c r="C8" s="2"/>
      <c r="D8" s="46">
        <v>1.51</v>
      </c>
      <c r="E8" s="2"/>
      <c r="F8" s="2"/>
      <c r="G8" s="2"/>
      <c r="H8" s="2"/>
      <c r="I8" s="2"/>
      <c r="J8" s="2"/>
      <c r="K8" s="2"/>
      <c r="L8" s="2"/>
    </row>
    <row r="9" spans="1:12" x14ac:dyDescent="0.25">
      <c r="A9" s="2"/>
      <c r="B9" s="2" t="s">
        <v>47</v>
      </c>
      <c r="C9" s="2"/>
      <c r="D9" s="45">
        <v>4.4999999999999998E-2</v>
      </c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 t="s">
        <v>36</v>
      </c>
      <c r="B12" s="2"/>
      <c r="C12" s="23">
        <f>'COHR DCF'!D66*'COHR DCF'!J5</f>
        <v>4735847.4868799997</v>
      </c>
      <c r="D12" s="2"/>
      <c r="E12" s="2" t="s">
        <v>35</v>
      </c>
      <c r="F12" s="2"/>
      <c r="G12" s="23">
        <f>'COHR DCF'!D64</f>
        <v>403212</v>
      </c>
      <c r="H12" s="2"/>
      <c r="I12" s="2" t="s">
        <v>48</v>
      </c>
      <c r="J12" s="2"/>
      <c r="K12" s="23">
        <f>G12+C12</f>
        <v>5139059.4868799997</v>
      </c>
      <c r="L12" s="2"/>
    </row>
    <row r="13" spans="1:12" x14ac:dyDescent="0.25">
      <c r="A13" s="2" t="s">
        <v>49</v>
      </c>
      <c r="B13" s="2"/>
      <c r="C13" s="47">
        <f>C12/K12</f>
        <v>0.92153972900500591</v>
      </c>
      <c r="D13" s="2"/>
      <c r="E13" s="2" t="s">
        <v>50</v>
      </c>
      <c r="F13" s="2"/>
      <c r="G13" s="48">
        <f>G12/K12</f>
        <v>7.8460270994994086E-2</v>
      </c>
      <c r="H13" s="2"/>
      <c r="I13" s="2"/>
      <c r="J13" s="2"/>
      <c r="K13" s="2"/>
      <c r="L13" s="2"/>
    </row>
    <row r="14" spans="1:12" x14ac:dyDescent="0.25">
      <c r="A14" s="2" t="s">
        <v>51</v>
      </c>
      <c r="B14" s="2"/>
      <c r="C14" s="49">
        <f>D7+D8*(D9)</f>
        <v>0.11895</v>
      </c>
      <c r="D14" s="2"/>
      <c r="E14" s="2" t="s">
        <v>52</v>
      </c>
      <c r="F14" s="2"/>
      <c r="G14" s="50">
        <v>0.02</v>
      </c>
      <c r="H14" s="2"/>
      <c r="I14" s="51" t="s">
        <v>1</v>
      </c>
      <c r="J14" s="52"/>
      <c r="K14" s="53">
        <f>C13*C14+G14*G13*(1-D6)</f>
        <v>0.11087565351190516</v>
      </c>
      <c r="L14" s="2"/>
    </row>
    <row r="15" spans="1:12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COHR DCF</vt:lpstr>
      <vt:lpstr>WACC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2023-05-02T11:48:48Z</dcterms:created>
  <dcterms:modified xsi:type="dcterms:W3CDTF">2023-05-09T15:01:14Z</dcterms:modified>
</cp:coreProperties>
</file>