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13_ncr:1_{4DE6F8E1-8D60-4996-9A4F-B0976634CA13}" xr6:coauthVersionLast="47" xr6:coauthVersionMax="47" xr10:uidLastSave="{00000000-0000-0000-0000-000000000000}"/>
  <bookViews>
    <workbookView xWindow="-120" yWindow="-120" windowWidth="20730" windowHeight="11040" xr2:uid="{3F256251-7061-49B2-9B0B-301EC1E08ECF}"/>
  </bookViews>
  <sheets>
    <sheet name="SL" sheetId="1" r:id="rId1"/>
    <sheet name="WA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7" i="1" l="1"/>
  <c r="L66" i="1"/>
  <c r="I51" i="1"/>
  <c r="I50" i="1"/>
  <c r="D66" i="1"/>
  <c r="D64" i="1"/>
  <c r="I48" i="1"/>
  <c r="J48" i="1"/>
  <c r="K48" i="1"/>
  <c r="I45" i="1"/>
  <c r="J45" i="1"/>
  <c r="K45" i="1"/>
  <c r="L45" i="1"/>
  <c r="J55" i="1"/>
  <c r="K55" i="1"/>
  <c r="L55" i="1"/>
  <c r="M55" i="1"/>
  <c r="N55" i="1"/>
  <c r="O55" i="1"/>
  <c r="P55" i="1"/>
  <c r="Q55" i="1"/>
  <c r="R55" i="1"/>
  <c r="I55" i="1"/>
  <c r="I53" i="1"/>
  <c r="J31" i="1"/>
  <c r="K31" i="1"/>
  <c r="L31" i="1"/>
  <c r="M31" i="1"/>
  <c r="N31" i="1"/>
  <c r="O31" i="1"/>
  <c r="P31" i="1"/>
  <c r="Q31" i="1"/>
  <c r="R31" i="1"/>
  <c r="I31" i="1"/>
  <c r="I35" i="1"/>
  <c r="I37" i="1"/>
  <c r="J37" i="1"/>
  <c r="K37" i="1"/>
  <c r="L37" i="1"/>
  <c r="M37" i="1"/>
  <c r="N37" i="1"/>
  <c r="O37" i="1"/>
  <c r="P37" i="1"/>
  <c r="Q37" i="1"/>
  <c r="R37" i="1"/>
  <c r="I28" i="1"/>
  <c r="J28" i="1"/>
  <c r="J29" i="1" s="1"/>
  <c r="K28" i="1"/>
  <c r="L28" i="1"/>
  <c r="L29" i="1" s="1"/>
  <c r="M28" i="1"/>
  <c r="N28" i="1"/>
  <c r="O28" i="1"/>
  <c r="P28" i="1"/>
  <c r="Q28" i="1"/>
  <c r="R28" i="1"/>
  <c r="I38" i="1"/>
  <c r="J38" i="1"/>
  <c r="K38" i="1"/>
  <c r="L38" i="1"/>
  <c r="I29" i="1"/>
  <c r="K29" i="1"/>
  <c r="M12" i="1"/>
  <c r="M11" i="1" s="1"/>
  <c r="M38" i="1" s="1"/>
  <c r="I12" i="1"/>
  <c r="J12" i="1"/>
  <c r="K12" i="1"/>
  <c r="L12" i="1"/>
  <c r="H50" i="1"/>
  <c r="G50" i="1"/>
  <c r="F50" i="1"/>
  <c r="G55" i="1"/>
  <c r="H55" i="1"/>
  <c r="F55" i="1"/>
  <c r="G28" i="1"/>
  <c r="G29" i="1" s="1"/>
  <c r="H28" i="1"/>
  <c r="H29" i="1" s="1"/>
  <c r="F28" i="1"/>
  <c r="F29" i="1" s="1"/>
  <c r="G26" i="1"/>
  <c r="H26" i="1"/>
  <c r="F26" i="1"/>
  <c r="G23" i="1"/>
  <c r="H23" i="1"/>
  <c r="F23" i="1"/>
  <c r="G16" i="1"/>
  <c r="G31" i="1" s="1"/>
  <c r="G32" i="1" s="1"/>
  <c r="H16" i="1"/>
  <c r="H31" i="1" s="1"/>
  <c r="H32" i="1" s="1"/>
  <c r="F16" i="1"/>
  <c r="F31" i="1" s="1"/>
  <c r="F32" i="1" s="1"/>
  <c r="L64" i="1"/>
  <c r="L63" i="1" s="1"/>
  <c r="G12" i="2"/>
  <c r="D67" i="1"/>
  <c r="C12" i="2" s="1"/>
  <c r="C14" i="2"/>
  <c r="J9" i="1"/>
  <c r="K9" i="1" s="1"/>
  <c r="L9" i="1" s="1"/>
  <c r="M9" i="1" s="1"/>
  <c r="N9" i="1" s="1"/>
  <c r="O9" i="1" s="1"/>
  <c r="P9" i="1" s="1"/>
  <c r="Q9" i="1" s="1"/>
  <c r="R9" i="1" s="1"/>
  <c r="N12" i="1" l="1"/>
  <c r="O12" i="1" s="1"/>
  <c r="P12" i="1" s="1"/>
  <c r="Q12" i="1" s="1"/>
  <c r="R12" i="1" s="1"/>
  <c r="M29" i="1"/>
  <c r="F17" i="1"/>
  <c r="N11" i="1"/>
  <c r="N38" i="1" s="1"/>
  <c r="L47" i="1"/>
  <c r="N47" i="1"/>
  <c r="F20" i="1"/>
  <c r="M47" i="1"/>
  <c r="H33" i="1"/>
  <c r="M44" i="1"/>
  <c r="F33" i="1"/>
  <c r="G33" i="1"/>
  <c r="N44" i="1"/>
  <c r="N32" i="1"/>
  <c r="L32" i="1"/>
  <c r="J32" i="1"/>
  <c r="I32" i="1"/>
  <c r="M32" i="1"/>
  <c r="K32" i="1"/>
  <c r="F48" i="1"/>
  <c r="F51" i="1"/>
  <c r="G48" i="1"/>
  <c r="G51" i="1"/>
  <c r="G45" i="1"/>
  <c r="G12" i="1"/>
  <c r="F45" i="1"/>
  <c r="G20" i="1"/>
  <c r="H12" i="1"/>
  <c r="H20" i="1"/>
  <c r="H45" i="1"/>
  <c r="H48" i="1"/>
  <c r="H51" i="1"/>
  <c r="K12" i="2"/>
  <c r="G13" i="2" s="1"/>
  <c r="G37" i="1"/>
  <c r="G53" i="1" s="1"/>
  <c r="G17" i="1"/>
  <c r="N29" i="1" l="1"/>
  <c r="O11" i="1"/>
  <c r="H17" i="1"/>
  <c r="I17" i="1" s="1"/>
  <c r="C13" i="2"/>
  <c r="K14" i="2" s="1"/>
  <c r="E5" i="1" s="1"/>
  <c r="F37" i="1"/>
  <c r="F53" i="1" s="1"/>
  <c r="H37" i="1"/>
  <c r="G41" i="1"/>
  <c r="G38" i="1"/>
  <c r="G57" i="1"/>
  <c r="J17" i="1" l="1"/>
  <c r="K17" i="1" s="1"/>
  <c r="L17" i="1" s="1"/>
  <c r="M17" i="1" s="1"/>
  <c r="N17" i="1" s="1"/>
  <c r="O17" i="1" s="1"/>
  <c r="P17" i="1" s="1"/>
  <c r="Q17" i="1" s="1"/>
  <c r="R17" i="1" s="1"/>
  <c r="I16" i="1"/>
  <c r="O38" i="1"/>
  <c r="O29" i="1"/>
  <c r="P11" i="1"/>
  <c r="O44" i="1"/>
  <c r="O32" i="1"/>
  <c r="O47" i="1"/>
  <c r="H53" i="1"/>
  <c r="H57" i="1" s="1"/>
  <c r="H38" i="1"/>
  <c r="F41" i="1"/>
  <c r="F57" i="1"/>
  <c r="F38" i="1"/>
  <c r="H41" i="1"/>
  <c r="I14" i="1" l="1"/>
  <c r="P38" i="1"/>
  <c r="P29" i="1"/>
  <c r="Q11" i="1"/>
  <c r="P44" i="1"/>
  <c r="P32" i="1"/>
  <c r="P47" i="1"/>
  <c r="Q38" i="1" l="1"/>
  <c r="Q29" i="1"/>
  <c r="R11" i="1"/>
  <c r="Q47" i="1"/>
  <c r="Q44" i="1"/>
  <c r="Q32" i="1"/>
  <c r="R38" i="1" l="1"/>
  <c r="R29" i="1"/>
  <c r="R32" i="1"/>
  <c r="R44" i="1"/>
  <c r="I40" i="1" l="1"/>
  <c r="I57" i="1" s="1"/>
  <c r="I58" i="1" s="1"/>
  <c r="J50" i="1" l="1"/>
  <c r="J16" i="1"/>
  <c r="J14" i="1" s="1"/>
  <c r="J35" i="1" l="1"/>
  <c r="J40" i="1" l="1"/>
  <c r="K16" i="1"/>
  <c r="K14" i="1" s="1"/>
  <c r="K50" i="1"/>
  <c r="K35" i="1" l="1"/>
  <c r="J53" i="1"/>
  <c r="J57" i="1" s="1"/>
  <c r="J58" i="1" s="1"/>
  <c r="L16" i="1"/>
  <c r="L14" i="1" s="1"/>
  <c r="L50" i="1"/>
  <c r="L35" i="1" l="1"/>
  <c r="K40" i="1" l="1"/>
  <c r="L40" i="1"/>
  <c r="M50" i="1"/>
  <c r="M16" i="1"/>
  <c r="M14" i="1" s="1"/>
  <c r="L53" i="1" l="1"/>
  <c r="L57" i="1" s="1"/>
  <c r="L58" i="1" s="1"/>
  <c r="M35" i="1"/>
  <c r="K53" i="1"/>
  <c r="K57" i="1" s="1"/>
  <c r="K58" i="1" s="1"/>
  <c r="N50" i="1" l="1"/>
  <c r="N16" i="1"/>
  <c r="N14" i="1" s="1"/>
  <c r="M40" i="1" l="1"/>
  <c r="M53" i="1" s="1"/>
  <c r="M57" i="1" s="1"/>
  <c r="M58" i="1" s="1"/>
  <c r="N35" i="1"/>
  <c r="N40" i="1" l="1"/>
  <c r="N53" i="1" l="1"/>
  <c r="N57" i="1" s="1"/>
  <c r="N58" i="1" s="1"/>
  <c r="O50" i="1"/>
  <c r="O16" i="1"/>
  <c r="O14" i="1" s="1"/>
  <c r="O35" i="1" l="1"/>
  <c r="P50" i="1" l="1"/>
  <c r="P16" i="1"/>
  <c r="P14" i="1" s="1"/>
  <c r="O40" i="1" l="1"/>
  <c r="P35" i="1"/>
  <c r="O53" i="1" l="1"/>
  <c r="O57" i="1" s="1"/>
  <c r="O58" i="1" s="1"/>
  <c r="P40" i="1" l="1"/>
  <c r="Q16" i="1"/>
  <c r="Q14" i="1" s="1"/>
  <c r="Q50" i="1"/>
  <c r="P53" i="1" l="1"/>
  <c r="P57" i="1" s="1"/>
  <c r="P58" i="1" s="1"/>
  <c r="Q35" i="1"/>
  <c r="R47" i="1" l="1"/>
  <c r="R16" i="1"/>
  <c r="R14" i="1" s="1"/>
  <c r="R50" i="1"/>
  <c r="R35" i="1" l="1"/>
  <c r="Q40" i="1"/>
  <c r="Q53" i="1" s="1"/>
  <c r="Q57" i="1" s="1"/>
  <c r="Q58" i="1" s="1"/>
  <c r="R40" i="1" l="1"/>
  <c r="R53" i="1" l="1"/>
  <c r="R57" i="1" s="1"/>
  <c r="C60" i="1" s="1"/>
  <c r="C61" i="1" s="1"/>
  <c r="S55" i="1"/>
  <c r="R58" i="1" l="1"/>
  <c r="T55" i="1"/>
  <c r="U55" i="1" s="1"/>
  <c r="V55" i="1" s="1"/>
  <c r="W55" i="1" s="1"/>
  <c r="X55" i="1" s="1"/>
  <c r="Y55" i="1" s="1"/>
  <c r="Z55" i="1" s="1"/>
  <c r="AA55" i="1" s="1"/>
  <c r="AB55" i="1" s="1"/>
  <c r="AC55" i="1" s="1"/>
  <c r="AD55" i="1" s="1"/>
  <c r="AE55" i="1" s="1"/>
  <c r="AF55" i="1" s="1"/>
  <c r="AG55" i="1" s="1"/>
  <c r="AH55" i="1" s="1"/>
  <c r="AI55" i="1" s="1"/>
  <c r="AJ55" i="1" s="1"/>
  <c r="AK55" i="1" s="1"/>
  <c r="AL55" i="1" s="1"/>
  <c r="AM55" i="1" s="1"/>
  <c r="AN55" i="1" s="1"/>
  <c r="AO55" i="1" s="1"/>
  <c r="AP55" i="1" s="1"/>
  <c r="AQ55" i="1" s="1"/>
  <c r="AR55" i="1" s="1"/>
  <c r="AS55" i="1" s="1"/>
  <c r="AT55" i="1" s="1"/>
  <c r="AU55" i="1" s="1"/>
  <c r="AV55" i="1" s="1"/>
  <c r="AW55" i="1" s="1"/>
  <c r="AX55" i="1" s="1"/>
  <c r="AY55" i="1" s="1"/>
  <c r="AZ55" i="1" s="1"/>
  <c r="BA55" i="1" s="1"/>
  <c r="BB55" i="1" s="1"/>
  <c r="BC55" i="1" s="1"/>
  <c r="BD55" i="1" s="1"/>
  <c r="BE55" i="1" s="1"/>
  <c r="BF55" i="1" s="1"/>
  <c r="BG55" i="1" s="1"/>
  <c r="BH55" i="1" s="1"/>
  <c r="BI55" i="1" s="1"/>
  <c r="BJ55" i="1" s="1"/>
  <c r="BK55" i="1" s="1"/>
  <c r="BL55" i="1" s="1"/>
  <c r="BM55" i="1" s="1"/>
  <c r="BN55" i="1" s="1"/>
  <c r="BO55" i="1" s="1"/>
  <c r="BP55" i="1" s="1"/>
  <c r="BQ55" i="1" s="1"/>
  <c r="BR55" i="1" s="1"/>
  <c r="BS55" i="1" s="1"/>
  <c r="BT55" i="1" s="1"/>
  <c r="BU55" i="1" s="1"/>
  <c r="BV55" i="1" s="1"/>
  <c r="BW55" i="1" s="1"/>
  <c r="BX55" i="1" s="1"/>
  <c r="BY55" i="1" s="1"/>
  <c r="BZ55" i="1" s="1"/>
  <c r="CA55" i="1" s="1"/>
  <c r="CB55" i="1" s="1"/>
  <c r="CC55" i="1" s="1"/>
  <c r="CD55" i="1" s="1"/>
  <c r="CE55" i="1" s="1"/>
  <c r="CF55" i="1" s="1"/>
  <c r="CG55" i="1" s="1"/>
  <c r="CH55" i="1" s="1"/>
  <c r="G63" i="1"/>
  <c r="G65" i="1" s="1"/>
  <c r="G68" i="1" s="1"/>
  <c r="F60" i="1" l="1"/>
  <c r="H63" i="1" s="1"/>
  <c r="H65" i="1" s="1"/>
  <c r="H68" i="1" s="1"/>
  <c r="E68" i="1" s="1"/>
  <c r="L62" i="1" s="1"/>
  <c r="J6" i="1" l="1"/>
  <c r="N5" i="1" s="1"/>
</calcChain>
</file>

<file path=xl/sharedStrings.xml><?xml version="1.0" encoding="utf-8"?>
<sst xmlns="http://schemas.openxmlformats.org/spreadsheetml/2006/main" count="71" uniqueCount="57">
  <si>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</si>
  <si>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</si>
  <si>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</si>
  <si>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</si>
  <si>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</si>
  <si>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</si>
  <si>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</si>
  <si>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</si>
  <si>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</si>
  <si>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</si>
  <si>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</si>
  <si>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</si>
  <si>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Opex</t>
  </si>
  <si>
    <t>Operating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</si>
  <si>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</si>
  <si>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</si>
  <si>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</si>
  <si>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</si>
  <si>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</si>
  <si>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</si>
  <si>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</si>
  <si>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</si>
  <si>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</si>
  <si>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</si>
  <si>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</si>
  <si>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</si>
  <si>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</si>
  <si>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</si>
  <si>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</si>
  <si>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</si>
  <si>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</si>
  <si>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</si>
  <si>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</si>
  <si>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</si>
  <si>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</si>
  <si>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</si>
  <si>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</si>
  <si>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</si>
  <si>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</si>
  <si>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SG&amp;A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</si>
  <si>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</si>
  <si>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</si>
  <si>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</si>
  <si>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</si>
  <si>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</si>
  <si>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</si>
  <si>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</si>
  <si>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</si>
  <si>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</si>
  <si>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</si>
  <si>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NCI</t>
  </si>
  <si>
    <t>Other</t>
  </si>
  <si>
    <t>Other income</t>
  </si>
  <si>
    <t>Update: 09/06/2023</t>
  </si>
  <si>
    <t>Terminal Growth Rate</t>
  </si>
  <si>
    <t>% Growth</t>
  </si>
  <si>
    <t>Sanlorenzo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</si>
</sst>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8" formatCode="#,##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3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3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1" fontId="3" fillId="2" borderId="0" xfId="0" applyNumberFormat="1" applyFont="1" applyFill="1"/>
    <xf numFmtId="164" fontId="7" fillId="2" borderId="3" xfId="1" applyNumberFormat="1" applyFont="1" applyFill="1" applyBorder="1"/>
    <xf numFmtId="1" fontId="3" fillId="2" borderId="3" xfId="0" applyNumberFormat="1" applyFont="1" applyFill="1" applyBorder="1"/>
    <xf numFmtId="10" fontId="3" fillId="2" borderId="0" xfId="1" applyNumberFormat="1" applyFont="1" applyFill="1"/>
    <xf numFmtId="0" fontId="0" fillId="2" borderId="3" xfId="0" applyFill="1" applyBorder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4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0" fillId="2" borderId="6" xfId="0" applyFill="1" applyBorder="1"/>
    <xf numFmtId="0" fontId="3" fillId="2" borderId="8" xfId="0" applyFont="1" applyFill="1" applyBorder="1"/>
    <xf numFmtId="2" fontId="6" fillId="2" borderId="0" xfId="0" applyNumberFormat="1" applyFont="1" applyFill="1"/>
    <xf numFmtId="2" fontId="2" fillId="2" borderId="0" xfId="0" applyNumberFormat="1" applyFont="1" applyFill="1"/>
    <xf numFmtId="3" fontId="0" fillId="0" borderId="0" xfId="0" applyNumberFormat="1"/>
    <xf numFmtId="3" fontId="3" fillId="2" borderId="3" xfId="0" applyNumberFormat="1" applyFont="1" applyFill="1" applyBorder="1"/>
    <xf numFmtId="3" fontId="0" fillId="2" borderId="1" xfId="0" applyNumberFormat="1" applyFill="1" applyBorder="1"/>
    <xf numFmtId="0" fontId="8" fillId="2" borderId="0" xfId="0" applyFont="1" applyFill="1"/>
    <xf numFmtId="0" fontId="0" fillId="2" borderId="1" xfId="0" applyFill="1" applyBorder="1"/>
    <xf numFmtId="0" fontId="0" fillId="2" borderId="5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0" fontId="2" fillId="2" borderId="9" xfId="0" applyFont="1" applyFill="1" applyBorder="1"/>
    <xf numFmtId="0" fontId="0" fillId="2" borderId="10" xfId="0" applyFill="1" applyBorder="1"/>
    <xf numFmtId="10" fontId="2" fillId="2" borderId="11" xfId="0" applyNumberFormat="1" applyFont="1" applyFill="1" applyBorder="1"/>
    <xf numFmtId="0" fontId="0" fillId="8" borderId="0" xfId="0" applyFill="1"/>
    <xf numFmtId="1" fontId="3" fillId="8" borderId="0" xfId="0" applyNumberFormat="1" applyFont="1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8" borderId="0" xfId="0" applyNumberFormat="1" applyFill="1" applyAlignment="1">
      <alignment horizontal="left"/>
    </xf>
    <xf numFmtId="164" fontId="0" fillId="8" borderId="0" xfId="1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2" fontId="3" fillId="2" borderId="0" xfId="0" applyNumberFormat="1" applyFont="1" applyFill="1"/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1" fontId="3" fillId="2" borderId="5" xfId="0" applyNumberFormat="1" applyFont="1" applyFill="1" applyBorder="1"/>
    <xf numFmtId="0" fontId="6" fillId="4" borderId="3" xfId="0" applyFont="1" applyFill="1" applyBorder="1"/>
    <xf numFmtId="0" fontId="6" fillId="3" borderId="3" xfId="0" applyFont="1" applyFill="1" applyBorder="1"/>
    <xf numFmtId="0" fontId="3" fillId="2" borderId="0" xfId="1" applyNumberFormat="1" applyFont="1" applyFill="1"/>
    <xf numFmtId="37" fontId="3" fillId="2" borderId="0" xfId="0" applyNumberFormat="1" applyFont="1" applyFill="1"/>
    <xf numFmtId="164" fontId="7" fillId="2" borderId="0" xfId="1" applyNumberFormat="1" applyFont="1" applyFill="1" applyBorder="1"/>
    <xf numFmtId="10" fontId="3" fillId="2" borderId="0" xfId="0" applyNumberFormat="1" applyFont="1" applyFill="1"/>
    <xf numFmtId="1" fontId="3" fillId="2" borderId="12" xfId="0" applyNumberFormat="1" applyFont="1" applyFill="1" applyBorder="1"/>
    <xf numFmtId="1" fontId="3" fillId="2" borderId="1" xfId="0" applyNumberFormat="1" applyFont="1" applyFill="1" applyBorder="1"/>
    <xf numFmtId="0" fontId="3" fillId="2" borderId="13" xfId="0" applyFont="1" applyFill="1" applyBorder="1"/>
    <xf numFmtId="0" fontId="7" fillId="11" borderId="0" xfId="0" applyFont="1" applyFill="1"/>
    <xf numFmtId="164" fontId="7" fillId="11" borderId="0" xfId="1" applyNumberFormat="1" applyFont="1" applyFill="1"/>
    <xf numFmtId="164" fontId="7" fillId="11" borderId="3" xfId="1" applyNumberFormat="1" applyFont="1" applyFill="1" applyBorder="1"/>
    <xf numFmtId="164" fontId="7" fillId="11" borderId="0" xfId="1" applyNumberFormat="1" applyFont="1" applyFill="1" applyBorder="1"/>
    <xf numFmtId="164" fontId="3" fillId="11" borderId="0" xfId="1" applyNumberFormat="1" applyFont="1" applyFill="1"/>
    <xf numFmtId="164" fontId="7" fillId="11" borderId="3" xfId="0" applyNumberFormat="1" applyFont="1" applyFill="1" applyBorder="1"/>
    <xf numFmtId="164" fontId="0" fillId="8" borderId="0" xfId="0" applyNumberFormat="1" applyFill="1" applyAlignment="1">
      <alignment horizontal="center"/>
    </xf>
    <xf numFmtId="0" fontId="3" fillId="9" borderId="0" xfId="0" applyFont="1" applyFill="1" applyAlignment="1">
      <alignment horizontal="center"/>
    </xf>
    <xf numFmtId="3" fontId="3" fillId="11" borderId="0" xfId="0" applyNumberFormat="1" applyFont="1" applyFill="1"/>
    <xf numFmtId="3" fontId="3" fillId="2" borderId="0" xfId="1" applyNumberFormat="1" applyFont="1" applyFill="1"/>
    <xf numFmtId="168" fontId="3" fillId="2" borderId="0" xfId="0" applyNumberFormat="1" applyFont="1" applyFill="1"/>
    <xf numFmtId="4" fontId="3" fillId="2" borderId="0" xfId="0" applyNumberFormat="1" applyFont="1" applyFill="1"/>
    <xf numFmtId="0" fontId="3" fillId="11" borderId="0" xfId="0" applyFont="1" applyFill="1"/>
    <xf numFmtId="168" fontId="3" fillId="2" borderId="3" xfId="0" applyNumberFormat="1" applyFont="1" applyFill="1" applyBorder="1"/>
    <xf numFmtId="164" fontId="7" fillId="11" borderId="0" xfId="0" applyNumberFormat="1" applyFont="1" applyFill="1" applyBorder="1"/>
    <xf numFmtId="1" fontId="3" fillId="2" borderId="0" xfId="0" applyNumberFormat="1" applyFont="1" applyFill="1" applyBorder="1"/>
    <xf numFmtId="3" fontId="3" fillId="2" borderId="0" xfId="0" applyNumberFormat="1" applyFont="1" applyFill="1" applyBorder="1"/>
    <xf numFmtId="0" fontId="3" fillId="2" borderId="0" xfId="0" applyFont="1" applyFill="1" applyBorder="1"/>
    <xf numFmtId="0" fontId="6" fillId="3" borderId="0" xfId="0" applyFont="1" applyFill="1" applyBorder="1"/>
    <xf numFmtId="168" fontId="3" fillId="2" borderId="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4064-8197-4774-A1FA-A1F3B33925A7}">
  <dimension ref="A1:CH69"/>
  <sheetViews>
    <sheetView tabSelected="1" topLeftCell="A53" zoomScaleNormal="100" workbookViewId="0">
      <selection activeCell="F63" sqref="F63"/>
    </sheetView>
  </sheetViews>
  <sheetFormatPr defaultRowHeight="15" x14ac:dyDescent="0.25"/>
  <cols>
    <col min="1" max="1" width="9.140625" style="2"/>
    <col min="2" max="2" width="17.28515625" style="2" customWidth="1"/>
    <col min="3" max="3" width="9.85546875" style="2" bestFit="1" customWidth="1"/>
    <col min="4" max="4" width="10.140625" style="2" bestFit="1" customWidth="1"/>
    <col min="5" max="5" width="9.140625" style="2"/>
    <col min="6" max="6" width="11.85546875" style="2" bestFit="1" customWidth="1"/>
    <col min="7" max="7" width="10.140625" style="2" bestFit="1" customWidth="1"/>
    <col min="8" max="8" width="11.140625" style="2" bestFit="1" customWidth="1"/>
    <col min="9" max="9" width="8.42578125" style="2" customWidth="1"/>
    <col min="10" max="10" width="10.5703125" style="2" bestFit="1" customWidth="1"/>
    <col min="11" max="11" width="9.42578125" style="2" customWidth="1"/>
    <col min="12" max="12" width="10.5703125" style="2" bestFit="1" customWidth="1"/>
    <col min="13" max="15" width="11.5703125" style="2" bestFit="1" customWidth="1"/>
    <col min="16" max="17" width="12.5703125" style="2" bestFit="1" customWidth="1"/>
    <col min="18" max="18" width="10.5703125" style="2" bestFit="1" customWidth="1"/>
    <col min="19" max="16384" width="9.140625" style="2"/>
  </cols>
  <sheetData>
    <row r="1" spans="1:18" s="52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18" s="52" customFormat="1" ht="23.25" x14ac:dyDescent="0.35">
      <c r="A2" s="3"/>
      <c r="B2" s="4" t="s">
        <v>56</v>
      </c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1"/>
    </row>
    <row r="3" spans="1:18" s="52" customFormat="1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18" s="52" customFormat="1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1:18" s="52" customFormat="1" x14ac:dyDescent="0.25">
      <c r="A5" s="1"/>
      <c r="B5" s="1"/>
      <c r="C5" s="7" t="s">
        <v>1</v>
      </c>
      <c r="D5" s="1"/>
      <c r="E5" s="8">
        <f>WACC!K14</f>
        <v>9.9795880824607844E-2</v>
      </c>
      <c r="F5" s="2"/>
      <c r="G5" s="1"/>
      <c r="H5" s="1" t="s">
        <v>2</v>
      </c>
      <c r="I5" s="1"/>
      <c r="J5" s="7">
        <v>35.9</v>
      </c>
      <c r="K5" s="1"/>
      <c r="L5" s="1" t="s">
        <v>3</v>
      </c>
      <c r="M5" s="1"/>
      <c r="N5" s="7">
        <f>(J6/J5)-1</f>
        <v>0.20833987760326478</v>
      </c>
      <c r="O5" s="1"/>
      <c r="P5" s="1" t="s">
        <v>53</v>
      </c>
      <c r="Q5" s="1"/>
      <c r="R5" s="2"/>
    </row>
    <row r="6" spans="1:18" s="52" customFormat="1" x14ac:dyDescent="0.25">
      <c r="A6" s="1"/>
      <c r="B6" s="1"/>
      <c r="C6" s="7" t="s">
        <v>4</v>
      </c>
      <c r="D6" s="1"/>
      <c r="E6" s="8">
        <v>0.02</v>
      </c>
      <c r="F6" s="2"/>
      <c r="G6" s="1"/>
      <c r="H6" s="1" t="s">
        <v>5</v>
      </c>
      <c r="I6" s="1"/>
      <c r="J6" s="58">
        <f>E68</f>
        <v>43.379401605957206</v>
      </c>
      <c r="K6" s="1"/>
      <c r="L6" s="1"/>
      <c r="M6" s="1"/>
      <c r="N6" s="1"/>
      <c r="O6" s="1"/>
      <c r="P6" s="1"/>
      <c r="Q6" s="1"/>
      <c r="R6" s="2"/>
    </row>
    <row r="7" spans="1:18" s="52" customFormat="1" x14ac:dyDescent="0.25">
      <c r="A7" s="1"/>
      <c r="B7" s="1"/>
      <c r="C7" s="1"/>
      <c r="D7" s="1"/>
      <c r="E7" s="8"/>
      <c r="F7" s="1"/>
      <c r="G7" s="1"/>
      <c r="H7" s="1"/>
      <c r="I7" s="1"/>
      <c r="J7" s="1"/>
      <c r="K7" s="18"/>
      <c r="L7" s="59"/>
      <c r="M7" s="1"/>
      <c r="N7" s="1"/>
      <c r="O7" s="1"/>
      <c r="P7" s="1"/>
      <c r="Q7" s="1"/>
      <c r="R7" s="2"/>
    </row>
    <row r="8" spans="1:18" s="52" customFormat="1" x14ac:dyDescent="0.25">
      <c r="A8" s="1"/>
      <c r="B8" s="1"/>
      <c r="C8" s="1"/>
      <c r="D8" s="1"/>
      <c r="E8" s="8"/>
      <c r="F8" s="1"/>
      <c r="G8" s="1"/>
      <c r="H8" s="1"/>
      <c r="I8" s="1"/>
      <c r="J8" s="1"/>
      <c r="K8" s="18"/>
      <c r="L8" s="1"/>
      <c r="M8" s="1"/>
      <c r="N8" s="1"/>
      <c r="O8" s="1"/>
      <c r="P8" s="1"/>
      <c r="Q8" s="1"/>
      <c r="R8" s="2"/>
    </row>
    <row r="9" spans="1:18" s="52" customFormat="1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18" s="52" customFormat="1" x14ac:dyDescent="0.25">
      <c r="A10" s="1"/>
      <c r="B10" s="9" t="s">
        <v>6</v>
      </c>
      <c r="C10" s="9">
        <v>2017</v>
      </c>
      <c r="D10" s="9">
        <v>2018</v>
      </c>
      <c r="E10" s="9">
        <v>2019</v>
      </c>
      <c r="F10" s="9">
        <v>2020</v>
      </c>
      <c r="G10" s="9">
        <v>2021</v>
      </c>
      <c r="H10" s="9">
        <v>2022</v>
      </c>
      <c r="I10" s="64">
        <v>2023</v>
      </c>
      <c r="J10" s="10">
        <v>2024</v>
      </c>
      <c r="K10" s="10">
        <v>2025</v>
      </c>
      <c r="L10" s="10">
        <v>2026</v>
      </c>
      <c r="M10" s="10">
        <v>2027</v>
      </c>
      <c r="N10" s="10">
        <v>2028</v>
      </c>
      <c r="O10" s="10">
        <v>2029</v>
      </c>
      <c r="P10" s="10">
        <v>2030</v>
      </c>
      <c r="Q10" s="10">
        <v>2031</v>
      </c>
      <c r="R10" s="10">
        <v>2032</v>
      </c>
    </row>
    <row r="11" spans="1:18" s="52" customFormat="1" x14ac:dyDescent="0.25">
      <c r="A11" s="1"/>
      <c r="B11" s="1" t="s">
        <v>7</v>
      </c>
      <c r="C11" s="11"/>
      <c r="D11" s="11"/>
      <c r="E11" s="11">
        <v>456</v>
      </c>
      <c r="F11" s="11">
        <v>535</v>
      </c>
      <c r="G11" s="11">
        <v>598.79999999999995</v>
      </c>
      <c r="H11" s="11">
        <v>760.1</v>
      </c>
      <c r="I11" s="20">
        <v>836.21</v>
      </c>
      <c r="J11" s="18">
        <v>910.62</v>
      </c>
      <c r="K11" s="18">
        <v>967.6</v>
      </c>
      <c r="L11" s="18">
        <v>1030</v>
      </c>
      <c r="M11" s="18">
        <f t="shared" ref="M11:R11" si="1">L11*(1+M12)</f>
        <v>1091.2741422075239</v>
      </c>
      <c r="N11" s="18">
        <f t="shared" si="1"/>
        <v>1150.7370792411634</v>
      </c>
      <c r="O11" s="18">
        <f t="shared" si="1"/>
        <v>1207.686434115639</v>
      </c>
      <c r="P11" s="18">
        <f t="shared" si="1"/>
        <v>1261.4157495515733</v>
      </c>
      <c r="Q11" s="18">
        <f t="shared" si="1"/>
        <v>1311.2283743865937</v>
      </c>
      <c r="R11" s="18">
        <f t="shared" si="1"/>
        <v>1356.4519309285836</v>
      </c>
    </row>
    <row r="12" spans="1:18" s="52" customFormat="1" x14ac:dyDescent="0.25">
      <c r="A12" s="1"/>
      <c r="B12" s="73" t="s">
        <v>8</v>
      </c>
      <c r="C12" s="74"/>
      <c r="D12" s="74"/>
      <c r="E12" s="74"/>
      <c r="F12" s="74"/>
      <c r="G12" s="74">
        <f>(G11/F11)-1</f>
        <v>0.11925233644859801</v>
      </c>
      <c r="H12" s="74">
        <f>(H11/G11)-1</f>
        <v>0.26937207748831016</v>
      </c>
      <c r="I12" s="75">
        <f t="shared" ref="I12:L12" si="2">(I11/H11)-1</f>
        <v>0.10013156163662673</v>
      </c>
      <c r="J12" s="74">
        <f t="shared" si="2"/>
        <v>8.8984824386218797E-2</v>
      </c>
      <c r="K12" s="74">
        <f t="shared" si="2"/>
        <v>6.2572752630076334E-2</v>
      </c>
      <c r="L12" s="74">
        <f t="shared" si="2"/>
        <v>6.4489458453906634E-2</v>
      </c>
      <c r="M12" s="76">
        <f>L12-0.5%</f>
        <v>5.9489458453906637E-2</v>
      </c>
      <c r="N12" s="76">
        <f t="shared" ref="N12:R12" si="3">M12-0.5%</f>
        <v>5.4489458453906639E-2</v>
      </c>
      <c r="O12" s="76">
        <f t="shared" si="3"/>
        <v>4.9489458453906641E-2</v>
      </c>
      <c r="P12" s="76">
        <f t="shared" si="3"/>
        <v>4.4489458453906644E-2</v>
      </c>
      <c r="Q12" s="76">
        <f t="shared" si="3"/>
        <v>3.9489458453906646E-2</v>
      </c>
      <c r="R12" s="76">
        <f t="shared" si="3"/>
        <v>3.4489458453906649E-2</v>
      </c>
    </row>
    <row r="13" spans="1:18" s="52" customFormat="1" x14ac:dyDescent="0.25">
      <c r="A13" s="1"/>
      <c r="B13" s="6"/>
      <c r="C13" s="1"/>
      <c r="D13" s="1"/>
      <c r="E13" s="1"/>
      <c r="F13" s="1"/>
      <c r="G13" s="1"/>
      <c r="H13" s="1"/>
      <c r="I13" s="12"/>
      <c r="J13" s="69"/>
      <c r="K13" s="69"/>
      <c r="L13" s="69"/>
      <c r="M13" s="69"/>
      <c r="N13" s="69"/>
      <c r="O13" s="69"/>
      <c r="P13" s="69"/>
      <c r="Q13" s="69"/>
      <c r="R13" s="69"/>
    </row>
    <row r="14" spans="1:18" s="52" customFormat="1" x14ac:dyDescent="0.25">
      <c r="A14" s="1"/>
      <c r="B14" s="1" t="s">
        <v>9</v>
      </c>
      <c r="C14" s="11"/>
      <c r="D14" s="11"/>
      <c r="E14" s="11"/>
      <c r="F14" s="11">
        <v>413.9</v>
      </c>
      <c r="G14" s="11">
        <v>442.7</v>
      </c>
      <c r="H14" s="11">
        <v>560.70000000000005</v>
      </c>
      <c r="I14" s="70">
        <f>I16-I11</f>
        <v>-612.66271660965663</v>
      </c>
      <c r="J14" s="71">
        <f t="shared" ref="J14:R14" si="4">J16-J11</f>
        <v>-662.62730085515068</v>
      </c>
      <c r="K14" s="71">
        <f t="shared" si="4"/>
        <v>-699.25171503749516</v>
      </c>
      <c r="L14" s="71">
        <f t="shared" si="4"/>
        <v>-739.19607946322856</v>
      </c>
      <c r="M14" s="71">
        <f t="shared" si="4"/>
        <v>-777.71408321070942</v>
      </c>
      <c r="N14" s="71">
        <f t="shared" si="4"/>
        <v>-814.33761704063159</v>
      </c>
      <c r="O14" s="71">
        <f t="shared" si="4"/>
        <v>-848.60031253603916</v>
      </c>
      <c r="P14" s="71">
        <f t="shared" si="4"/>
        <v>-880.04700213682554</v>
      </c>
      <c r="Q14" s="71">
        <f t="shared" si="4"/>
        <v>-908.24343979325988</v>
      </c>
      <c r="R14" s="71">
        <f t="shared" si="4"/>
        <v>-932.78600452139972</v>
      </c>
    </row>
    <row r="15" spans="1:18" s="52" customFormat="1" x14ac:dyDescent="0.25">
      <c r="A15" s="1"/>
      <c r="B15" s="17"/>
      <c r="C15" s="17"/>
      <c r="D15" s="17"/>
      <c r="E15" s="17"/>
      <c r="F15" s="17"/>
      <c r="G15" s="17"/>
      <c r="H15" s="17"/>
      <c r="I15" s="12"/>
      <c r="J15" s="1"/>
      <c r="K15" s="1"/>
      <c r="L15" s="1"/>
      <c r="M15" s="1"/>
      <c r="N15" s="1"/>
      <c r="O15" s="1"/>
      <c r="P15" s="1"/>
      <c r="Q15" s="1"/>
      <c r="R15" s="1"/>
    </row>
    <row r="16" spans="1:18" s="52" customFormat="1" x14ac:dyDescent="0.25">
      <c r="A16" s="1"/>
      <c r="B16" s="1" t="s">
        <v>10</v>
      </c>
      <c r="C16" s="11"/>
      <c r="D16" s="11"/>
      <c r="E16" s="11"/>
      <c r="F16" s="11">
        <f>F11-F14</f>
        <v>121.10000000000002</v>
      </c>
      <c r="G16" s="11">
        <f t="shared" ref="G16:H16" si="5">G11-G14</f>
        <v>156.09999999999997</v>
      </c>
      <c r="H16" s="11">
        <f t="shared" si="5"/>
        <v>199.39999999999998</v>
      </c>
      <c r="I16" s="20">
        <f>I11*I17</f>
        <v>223.54728339034335</v>
      </c>
      <c r="J16" s="18">
        <f t="shared" ref="J16:R16" si="6">J11*J17</f>
        <v>247.99269914484933</v>
      </c>
      <c r="K16" s="18">
        <f>K11*K17</f>
        <v>268.34828496250492</v>
      </c>
      <c r="L16" s="18">
        <f t="shared" si="6"/>
        <v>290.80392053677144</v>
      </c>
      <c r="M16" s="18">
        <f t="shared" si="6"/>
        <v>313.56005899681452</v>
      </c>
      <c r="N16" s="18">
        <f t="shared" si="6"/>
        <v>336.39946220053179</v>
      </c>
      <c r="O16" s="18">
        <f t="shared" si="6"/>
        <v>359.08612157959982</v>
      </c>
      <c r="P16" s="18">
        <f t="shared" si="6"/>
        <v>381.3687474147477</v>
      </c>
      <c r="Q16" s="18">
        <f t="shared" si="6"/>
        <v>402.98493459333383</v>
      </c>
      <c r="R16" s="18">
        <f t="shared" si="6"/>
        <v>423.6659264071838</v>
      </c>
    </row>
    <row r="17" spans="1:18" s="52" customFormat="1" x14ac:dyDescent="0.25">
      <c r="A17" s="1"/>
      <c r="B17" s="73" t="s">
        <v>11</v>
      </c>
      <c r="C17" s="74"/>
      <c r="D17" s="74"/>
      <c r="E17" s="74"/>
      <c r="F17" s="74">
        <f>F16/F11</f>
        <v>0.22635514018691594</v>
      </c>
      <c r="G17" s="74">
        <f t="shared" ref="G17:H17" si="7">G16/G11</f>
        <v>0.26068804275217095</v>
      </c>
      <c r="H17" s="74">
        <f t="shared" si="7"/>
        <v>0.26233390343375868</v>
      </c>
      <c r="I17" s="78">
        <f>H17+0.5%</f>
        <v>0.26733390343375868</v>
      </c>
      <c r="J17" s="87">
        <f t="shared" ref="J17:R17" si="8">I17+0.5%</f>
        <v>0.27233390343375868</v>
      </c>
      <c r="K17" s="87">
        <f t="shared" si="8"/>
        <v>0.27733390343375869</v>
      </c>
      <c r="L17" s="87">
        <f t="shared" si="8"/>
        <v>0.28233390343375869</v>
      </c>
      <c r="M17" s="87">
        <f t="shared" si="8"/>
        <v>0.2873339034337587</v>
      </c>
      <c r="N17" s="87">
        <f t="shared" si="8"/>
        <v>0.2923339034337587</v>
      </c>
      <c r="O17" s="87">
        <f t="shared" si="8"/>
        <v>0.29733390343375871</v>
      </c>
      <c r="P17" s="87">
        <f t="shared" si="8"/>
        <v>0.30233390343375871</v>
      </c>
      <c r="Q17" s="87">
        <f t="shared" si="8"/>
        <v>0.30733390343375872</v>
      </c>
      <c r="R17" s="87">
        <f t="shared" si="8"/>
        <v>0.31233390343375872</v>
      </c>
    </row>
    <row r="18" spans="1:18" s="52" customFormat="1" x14ac:dyDescent="0.25">
      <c r="A18" s="1"/>
      <c r="B18" s="1"/>
      <c r="C18" s="11"/>
      <c r="D18" s="11"/>
      <c r="E18" s="11"/>
      <c r="F18" s="11"/>
      <c r="G18" s="11"/>
      <c r="H18" s="11"/>
      <c r="I18" s="20"/>
      <c r="J18" s="88"/>
      <c r="K18" s="88"/>
      <c r="L18" s="88"/>
      <c r="M18" s="88"/>
      <c r="N18" s="88"/>
      <c r="O18" s="88"/>
      <c r="P18" s="88"/>
      <c r="Q18" s="88"/>
      <c r="R18" s="88"/>
    </row>
    <row r="19" spans="1:18" s="52" customFormat="1" x14ac:dyDescent="0.25">
      <c r="A19" s="1"/>
      <c r="B19" s="1" t="s">
        <v>39</v>
      </c>
      <c r="C19" s="11"/>
      <c r="D19" s="11"/>
      <c r="E19" s="11"/>
      <c r="F19" s="11">
        <v>39.6</v>
      </c>
      <c r="G19" s="11">
        <v>48.3</v>
      </c>
      <c r="H19" s="11">
        <v>56.6</v>
      </c>
      <c r="I19" s="20">
        <v>59.357552187995061</v>
      </c>
      <c r="J19" s="88">
        <v>65.223224780056896</v>
      </c>
      <c r="K19" s="88">
        <v>70.834333914087082</v>
      </c>
      <c r="L19" s="88">
        <v>77.207293389016613</v>
      </c>
      <c r="M19" s="88">
        <v>83.712577128571127</v>
      </c>
      <c r="N19" s="88">
        <v>90.290492000881983</v>
      </c>
      <c r="O19" s="88">
        <v>96.875175038711021</v>
      </c>
      <c r="P19" s="88">
        <v>103.3955056594645</v>
      </c>
      <c r="Q19" s="88">
        <v>109.77623248762931</v>
      </c>
      <c r="R19" s="88">
        <v>115.93929583254918</v>
      </c>
    </row>
    <row r="20" spans="1:18" s="52" customFormat="1" x14ac:dyDescent="0.25">
      <c r="A20" s="1"/>
      <c r="B20" s="73" t="s">
        <v>16</v>
      </c>
      <c r="C20" s="74"/>
      <c r="D20" s="74"/>
      <c r="E20" s="74"/>
      <c r="F20" s="74">
        <f t="shared" ref="F20:H20" si="9">F19/F11</f>
        <v>7.4018691588785046E-2</v>
      </c>
      <c r="G20" s="74">
        <f t="shared" si="9"/>
        <v>8.0661322645290578E-2</v>
      </c>
      <c r="H20" s="74">
        <f t="shared" si="9"/>
        <v>7.4463886330745951E-2</v>
      </c>
      <c r="I20" s="75">
        <v>7.0984025768640727E-2</v>
      </c>
      <c r="J20" s="76">
        <v>7.1625073883790052E-2</v>
      </c>
      <c r="K20" s="76">
        <v>7.3206215289465776E-2</v>
      </c>
      <c r="L20" s="76">
        <v>7.4958537270889913E-2</v>
      </c>
      <c r="M20" s="76">
        <v>7.6710859252314065E-2</v>
      </c>
      <c r="N20" s="76">
        <v>7.8463181233738216E-2</v>
      </c>
      <c r="O20" s="76">
        <v>8.0215503215162368E-2</v>
      </c>
      <c r="P20" s="76">
        <v>8.1967825196586505E-2</v>
      </c>
      <c r="Q20" s="76">
        <v>8.3720147178010684E-2</v>
      </c>
      <c r="R20" s="76">
        <v>8.5472469159434822E-2</v>
      </c>
    </row>
    <row r="21" spans="1:18" s="52" customFormat="1" x14ac:dyDescent="0.25">
      <c r="A21" s="1"/>
      <c r="B21" s="1"/>
      <c r="C21" s="11"/>
      <c r="D21" s="11"/>
      <c r="E21" s="11"/>
      <c r="F21" s="11"/>
      <c r="G21" s="11"/>
      <c r="H21" s="11"/>
      <c r="I21" s="38"/>
      <c r="J21" s="89"/>
      <c r="K21" s="89"/>
      <c r="L21" s="89"/>
      <c r="M21" s="89"/>
      <c r="N21" s="89"/>
      <c r="O21" s="89"/>
      <c r="P21" s="89"/>
      <c r="Q21" s="89"/>
      <c r="R21" s="89"/>
    </row>
    <row r="22" spans="1:18" s="52" customFormat="1" x14ac:dyDescent="0.25">
      <c r="A22" s="1"/>
      <c r="B22" s="1" t="s">
        <v>20</v>
      </c>
      <c r="C22" s="11"/>
      <c r="D22" s="11"/>
      <c r="E22" s="11"/>
      <c r="F22" s="11">
        <v>20.2</v>
      </c>
      <c r="G22" s="11">
        <v>22.4</v>
      </c>
      <c r="H22" s="11">
        <v>26.7</v>
      </c>
      <c r="I22" s="38">
        <v>28.000824088683185</v>
      </c>
      <c r="J22" s="89">
        <v>30.767846318507406</v>
      </c>
      <c r="K22" s="89">
        <v>33.414782959472177</v>
      </c>
      <c r="L22" s="89">
        <v>36.421108365490163</v>
      </c>
      <c r="M22" s="89">
        <v>39.48985528856624</v>
      </c>
      <c r="N22" s="89">
        <v>42.59286460112277</v>
      </c>
      <c r="O22" s="89">
        <v>45.699066670204672</v>
      </c>
      <c r="P22" s="89">
        <v>48.774911680348097</v>
      </c>
      <c r="Q22" s="89">
        <v>51.784901191160827</v>
      </c>
      <c r="R22" s="89">
        <v>54.692211991679564</v>
      </c>
    </row>
    <row r="23" spans="1:18" s="52" customFormat="1" x14ac:dyDescent="0.25">
      <c r="A23" s="1"/>
      <c r="B23" s="73" t="s">
        <v>16</v>
      </c>
      <c r="C23" s="81"/>
      <c r="D23" s="81"/>
      <c r="E23" s="81"/>
      <c r="F23" s="74">
        <f>F22/F11</f>
        <v>3.7757009345794394E-2</v>
      </c>
      <c r="G23" s="74">
        <f t="shared" ref="G23:H23" si="10">G22/G11</f>
        <v>3.7408149632598531E-2</v>
      </c>
      <c r="H23" s="74">
        <f t="shared" si="10"/>
        <v>3.5126956979344821E-2</v>
      </c>
      <c r="I23" s="75">
        <v>3.3485397314888823E-2</v>
      </c>
      <c r="J23" s="76">
        <v>3.3787799870975167E-2</v>
      </c>
      <c r="K23" s="76">
        <v>3.4533673996974136E-2</v>
      </c>
      <c r="L23" s="76">
        <v>3.5360299383971033E-2</v>
      </c>
      <c r="M23" s="76">
        <v>3.6186924770967945E-2</v>
      </c>
      <c r="N23" s="76">
        <v>3.7013550157964849E-2</v>
      </c>
      <c r="O23" s="76">
        <v>3.784017554496176E-2</v>
      </c>
      <c r="P23" s="76">
        <v>3.866680093195865E-2</v>
      </c>
      <c r="Q23" s="76">
        <v>3.9493426318955568E-2</v>
      </c>
      <c r="R23" s="76">
        <v>4.0320051705952473E-2</v>
      </c>
    </row>
    <row r="24" spans="1:18" s="52" customFormat="1" x14ac:dyDescent="0.25">
      <c r="A24" s="1"/>
      <c r="B24" s="1"/>
      <c r="C24" s="11"/>
      <c r="D24" s="11"/>
      <c r="E24" s="11"/>
      <c r="F24" s="11"/>
      <c r="G24" s="11"/>
      <c r="H24" s="11"/>
      <c r="I24" s="38"/>
      <c r="J24" s="89"/>
      <c r="K24" s="89"/>
      <c r="L24" s="89"/>
      <c r="M24" s="89"/>
      <c r="N24" s="89"/>
      <c r="O24" s="89"/>
      <c r="P24" s="89"/>
      <c r="Q24" s="89"/>
      <c r="R24" s="89"/>
    </row>
    <row r="25" spans="1:18" s="52" customFormat="1" ht="15" customHeight="1" x14ac:dyDescent="0.25">
      <c r="A25" s="1"/>
      <c r="B25" s="1" t="s">
        <v>51</v>
      </c>
      <c r="C25" s="11"/>
      <c r="D25" s="11"/>
      <c r="E25" s="11"/>
      <c r="F25" s="11">
        <v>12.4</v>
      </c>
      <c r="G25" s="11">
        <v>13.1</v>
      </c>
      <c r="H25" s="11">
        <v>13.6</v>
      </c>
      <c r="I25" s="38">
        <v>14.26259204517196</v>
      </c>
      <c r="J25" s="89">
        <v>15.672011607928866</v>
      </c>
      <c r="K25" s="89">
        <v>17.020263979356617</v>
      </c>
      <c r="L25" s="89">
        <v>18.55157579665417</v>
      </c>
      <c r="M25" s="89">
        <v>20.114682843614265</v>
      </c>
      <c r="N25" s="89">
        <v>21.695241894204859</v>
      </c>
      <c r="O25" s="89">
        <v>23.277427217782158</v>
      </c>
      <c r="P25" s="89">
        <v>24.844149769765323</v>
      </c>
      <c r="Q25" s="89">
        <v>26.377327947557575</v>
      </c>
      <c r="R25" s="89">
        <v>27.858205359057756</v>
      </c>
    </row>
    <row r="26" spans="1:18" s="52" customFormat="1" ht="13.5" customHeight="1" x14ac:dyDescent="0.25">
      <c r="A26" s="1"/>
      <c r="B26" s="73" t="s">
        <v>16</v>
      </c>
      <c r="C26" s="81"/>
      <c r="D26" s="81"/>
      <c r="E26" s="81"/>
      <c r="F26" s="74">
        <f>F25/F11</f>
        <v>2.3177570093457944E-2</v>
      </c>
      <c r="G26" s="74">
        <f t="shared" ref="G26:H26" si="11">G25/G11</f>
        <v>2.1877087508350036E-2</v>
      </c>
      <c r="H26" s="74">
        <f t="shared" si="11"/>
        <v>1.7892382581239308E-2</v>
      </c>
      <c r="I26" s="75">
        <v>1.7056232340168093E-2</v>
      </c>
      <c r="J26" s="76">
        <v>1.7210265102818811E-2</v>
      </c>
      <c r="K26" s="76">
        <v>1.7590186005949377E-2</v>
      </c>
      <c r="L26" s="76">
        <v>1.8011238637528321E-2</v>
      </c>
      <c r="M26" s="76">
        <v>1.8432291269107268E-2</v>
      </c>
      <c r="N26" s="76">
        <v>1.8853343900686215E-2</v>
      </c>
      <c r="O26" s="76">
        <v>1.9274396532265169E-2</v>
      </c>
      <c r="P26" s="76">
        <v>1.9695449163844109E-2</v>
      </c>
      <c r="Q26" s="76">
        <v>2.0116501795423063E-2</v>
      </c>
      <c r="R26" s="76">
        <v>2.053755442700201E-2</v>
      </c>
    </row>
    <row r="27" spans="1:18" s="52" customFormat="1" ht="12" customHeight="1" x14ac:dyDescent="0.25">
      <c r="A27" s="1"/>
      <c r="B27" s="1"/>
      <c r="C27" s="11"/>
      <c r="D27" s="11"/>
      <c r="E27" s="11"/>
      <c r="F27" s="11"/>
      <c r="G27" s="11"/>
      <c r="H27" s="11"/>
      <c r="I27" s="38"/>
      <c r="J27" s="89"/>
      <c r="K27" s="89"/>
      <c r="L27" s="89"/>
      <c r="M27" s="89"/>
      <c r="N27" s="89"/>
      <c r="O27" s="89"/>
      <c r="P27" s="89"/>
      <c r="Q27" s="89"/>
      <c r="R27" s="89"/>
    </row>
    <row r="28" spans="1:18" s="52" customFormat="1" x14ac:dyDescent="0.25">
      <c r="A28" s="1"/>
      <c r="B28" s="1" t="s">
        <v>12</v>
      </c>
      <c r="C28" s="11"/>
      <c r="D28" s="11"/>
      <c r="E28" s="11"/>
      <c r="F28" s="11">
        <f>F19+F22+F25</f>
        <v>72.2</v>
      </c>
      <c r="G28" s="11">
        <f t="shared" ref="G28:R28" si="12">G19+G22+G25</f>
        <v>83.799999999999983</v>
      </c>
      <c r="H28" s="11">
        <f t="shared" si="12"/>
        <v>96.899999999999991</v>
      </c>
      <c r="I28" s="38">
        <f t="shared" si="12"/>
        <v>101.6209683218502</v>
      </c>
      <c r="J28" s="89">
        <f t="shared" si="12"/>
        <v>111.66308270649317</v>
      </c>
      <c r="K28" s="89">
        <f t="shared" si="12"/>
        <v>121.26938085291587</v>
      </c>
      <c r="L28" s="89">
        <f t="shared" si="12"/>
        <v>132.17997755116093</v>
      </c>
      <c r="M28" s="89">
        <f t="shared" si="12"/>
        <v>143.31711526075165</v>
      </c>
      <c r="N28" s="89">
        <f t="shared" si="12"/>
        <v>154.57859849620962</v>
      </c>
      <c r="O28" s="89">
        <f t="shared" si="12"/>
        <v>165.85166892669784</v>
      </c>
      <c r="P28" s="89">
        <f t="shared" si="12"/>
        <v>177.01456710957794</v>
      </c>
      <c r="Q28" s="89">
        <f t="shared" si="12"/>
        <v>187.93846162634773</v>
      </c>
      <c r="R28" s="89">
        <f t="shared" si="12"/>
        <v>198.48971318328651</v>
      </c>
    </row>
    <row r="29" spans="1:18" s="52" customFormat="1" x14ac:dyDescent="0.25">
      <c r="A29" s="1"/>
      <c r="B29" s="85" t="s">
        <v>55</v>
      </c>
      <c r="C29" s="74"/>
      <c r="D29" s="74"/>
      <c r="E29" s="74"/>
      <c r="F29" s="74">
        <f>F28/F11</f>
        <v>0.13495327102803739</v>
      </c>
      <c r="G29" s="74">
        <f t="shared" ref="G29:R29" si="13">G28/G11</f>
        <v>0.13994655978623913</v>
      </c>
      <c r="H29" s="74">
        <f t="shared" si="13"/>
        <v>0.12748322589133007</v>
      </c>
      <c r="I29" s="75">
        <f t="shared" si="13"/>
        <v>0.12152565542369763</v>
      </c>
      <c r="J29" s="76">
        <f t="shared" si="13"/>
        <v>0.12262313885758402</v>
      </c>
      <c r="K29" s="76">
        <f t="shared" si="13"/>
        <v>0.12533007529238929</v>
      </c>
      <c r="L29" s="76">
        <f t="shared" si="13"/>
        <v>0.12833007529238927</v>
      </c>
      <c r="M29" s="76">
        <f t="shared" si="13"/>
        <v>0.13133007529238927</v>
      </c>
      <c r="N29" s="76">
        <f t="shared" si="13"/>
        <v>0.1343300752923893</v>
      </c>
      <c r="O29" s="76">
        <f t="shared" si="13"/>
        <v>0.13733007529238928</v>
      </c>
      <c r="P29" s="76">
        <f t="shared" si="13"/>
        <v>0.14033007529238928</v>
      </c>
      <c r="Q29" s="76">
        <f t="shared" si="13"/>
        <v>0.14333007529238931</v>
      </c>
      <c r="R29" s="76">
        <f t="shared" si="13"/>
        <v>0.14633007529238931</v>
      </c>
    </row>
    <row r="30" spans="1:18" s="52" customFormat="1" x14ac:dyDescent="0.25">
      <c r="A30" s="1"/>
      <c r="B30" s="1"/>
      <c r="C30" s="14"/>
      <c r="D30" s="14"/>
      <c r="E30" s="14"/>
      <c r="F30" s="14"/>
      <c r="G30" s="14"/>
      <c r="H30" s="14"/>
      <c r="I30" s="19"/>
      <c r="J30" s="68"/>
      <c r="K30" s="68"/>
      <c r="L30" s="68"/>
      <c r="M30" s="68"/>
      <c r="N30" s="68"/>
      <c r="O30" s="68"/>
      <c r="P30" s="68"/>
      <c r="Q30" s="68"/>
      <c r="R30" s="68"/>
    </row>
    <row r="31" spans="1:18" s="52" customFormat="1" x14ac:dyDescent="0.25">
      <c r="A31" s="1"/>
      <c r="B31" s="1" t="s">
        <v>13</v>
      </c>
      <c r="C31" s="11"/>
      <c r="D31" s="11"/>
      <c r="E31" s="11"/>
      <c r="F31" s="11">
        <f>F16-F28</f>
        <v>48.90000000000002</v>
      </c>
      <c r="G31" s="11">
        <f t="shared" ref="G31:H31" si="14">G16-G28</f>
        <v>72.299999999999983</v>
      </c>
      <c r="H31" s="11">
        <f t="shared" si="14"/>
        <v>102.49999999999999</v>
      </c>
      <c r="I31" s="38">
        <f>I16-I28</f>
        <v>121.92631506849315</v>
      </c>
      <c r="J31" s="89">
        <f t="shared" ref="J31:R31" si="15">J16-J28</f>
        <v>136.32961643835614</v>
      </c>
      <c r="K31" s="89">
        <f t="shared" si="15"/>
        <v>147.07890410958905</v>
      </c>
      <c r="L31" s="89">
        <f t="shared" si="15"/>
        <v>158.62394298561051</v>
      </c>
      <c r="M31" s="89">
        <f t="shared" si="15"/>
        <v>170.24294373606287</v>
      </c>
      <c r="N31" s="89">
        <f t="shared" si="15"/>
        <v>181.82086370432216</v>
      </c>
      <c r="O31" s="89">
        <f t="shared" si="15"/>
        <v>193.23445265290198</v>
      </c>
      <c r="P31" s="89">
        <f t="shared" si="15"/>
        <v>204.35418030516976</v>
      </c>
      <c r="Q31" s="89">
        <f t="shared" si="15"/>
        <v>215.0464729669861</v>
      </c>
      <c r="R31" s="89">
        <f t="shared" si="15"/>
        <v>225.17621322389729</v>
      </c>
    </row>
    <row r="32" spans="1:18" s="52" customFormat="1" x14ac:dyDescent="0.25">
      <c r="A32" s="1"/>
      <c r="B32" s="1" t="s">
        <v>52</v>
      </c>
      <c r="C32" s="66"/>
      <c r="D32" s="66"/>
      <c r="E32" s="66"/>
      <c r="F32" s="82">
        <f>F35-F31</f>
        <v>-2.0000000000000213</v>
      </c>
      <c r="G32" s="82">
        <f t="shared" ref="G32:H32" si="16">G35-G31</f>
        <v>-1.2999999999999829</v>
      </c>
      <c r="H32" s="82">
        <f t="shared" si="16"/>
        <v>-0.19999999999998863</v>
      </c>
      <c r="I32" s="20">
        <f t="shared" ref="I32:R32" si="17">I33*I11</f>
        <v>-0.83621000000000001</v>
      </c>
      <c r="J32" s="88">
        <f t="shared" si="17"/>
        <v>-0.91061999999999999</v>
      </c>
      <c r="K32" s="88">
        <f t="shared" si="17"/>
        <v>-0.96760000000000002</v>
      </c>
      <c r="L32" s="88">
        <f t="shared" si="17"/>
        <v>-1.03</v>
      </c>
      <c r="M32" s="88">
        <f t="shared" si="17"/>
        <v>-1.0912741422075241</v>
      </c>
      <c r="N32" s="88">
        <f t="shared" si="17"/>
        <v>-1.1507370792411635</v>
      </c>
      <c r="O32" s="88">
        <f t="shared" si="17"/>
        <v>-1.207686434115639</v>
      </c>
      <c r="P32" s="88">
        <f t="shared" si="17"/>
        <v>-1.2614157495515734</v>
      </c>
      <c r="Q32" s="88">
        <f t="shared" si="17"/>
        <v>-1.3112283743865938</v>
      </c>
      <c r="R32" s="88">
        <f t="shared" si="17"/>
        <v>-1.3564519309285836</v>
      </c>
    </row>
    <row r="33" spans="1:86" s="52" customFormat="1" x14ac:dyDescent="0.25">
      <c r="A33" s="1"/>
      <c r="B33" s="73" t="s">
        <v>16</v>
      </c>
      <c r="C33" s="74"/>
      <c r="D33" s="74"/>
      <c r="E33" s="74"/>
      <c r="F33" s="74">
        <f>F32/F11</f>
        <v>-3.7383177570093858E-3</v>
      </c>
      <c r="G33" s="74">
        <f>G32/G11</f>
        <v>-2.1710086840347077E-3</v>
      </c>
      <c r="H33" s="74">
        <f>H32/H11</f>
        <v>-2.6312327325350433E-4</v>
      </c>
      <c r="I33" s="78">
        <v>-1E-3</v>
      </c>
      <c r="J33" s="87">
        <v>-1E-3</v>
      </c>
      <c r="K33" s="87">
        <v>-1E-3</v>
      </c>
      <c r="L33" s="87">
        <v>-1E-3</v>
      </c>
      <c r="M33" s="87">
        <v>-1E-3</v>
      </c>
      <c r="N33" s="87">
        <v>-1E-3</v>
      </c>
      <c r="O33" s="87">
        <v>-1E-3</v>
      </c>
      <c r="P33" s="87">
        <v>-1E-3</v>
      </c>
      <c r="Q33" s="87">
        <v>-1E-3</v>
      </c>
      <c r="R33" s="87">
        <v>-1E-3</v>
      </c>
    </row>
    <row r="34" spans="1:86" s="52" customFormat="1" x14ac:dyDescent="0.25">
      <c r="A34" s="1"/>
      <c r="B34" s="1"/>
      <c r="C34" s="66"/>
      <c r="D34" s="66"/>
      <c r="E34" s="66"/>
      <c r="F34" s="66"/>
      <c r="G34" s="66"/>
      <c r="H34" s="66"/>
      <c r="I34" s="12"/>
      <c r="J34" s="90"/>
      <c r="K34" s="90"/>
      <c r="L34" s="90"/>
      <c r="M34" s="90"/>
      <c r="N34" s="90"/>
      <c r="O34" s="90"/>
      <c r="P34" s="90"/>
      <c r="Q34" s="90"/>
      <c r="R34" s="90"/>
    </row>
    <row r="35" spans="1:86" s="52" customFormat="1" x14ac:dyDescent="0.25">
      <c r="A35" s="1"/>
      <c r="B35" s="1" t="s">
        <v>14</v>
      </c>
      <c r="C35" s="11"/>
      <c r="D35" s="11"/>
      <c r="E35" s="11">
        <v>37.9</v>
      </c>
      <c r="F35" s="11">
        <v>46.9</v>
      </c>
      <c r="G35" s="11">
        <v>71</v>
      </c>
      <c r="H35" s="11">
        <v>102.3</v>
      </c>
      <c r="I35" s="38">
        <f>I31+I32</f>
        <v>121.09010506849316</v>
      </c>
      <c r="J35" s="89">
        <f t="shared" ref="I35:R35" si="18">J31+J32</f>
        <v>135.41899643835615</v>
      </c>
      <c r="K35" s="89">
        <f t="shared" si="18"/>
        <v>146.11130410958904</v>
      </c>
      <c r="L35" s="89">
        <f t="shared" si="18"/>
        <v>157.59394298561051</v>
      </c>
      <c r="M35" s="89">
        <f t="shared" si="18"/>
        <v>169.15166959385536</v>
      </c>
      <c r="N35" s="89">
        <f t="shared" si="18"/>
        <v>180.670126625081</v>
      </c>
      <c r="O35" s="89">
        <f t="shared" si="18"/>
        <v>192.02676621878635</v>
      </c>
      <c r="P35" s="89">
        <f t="shared" si="18"/>
        <v>203.0927645556182</v>
      </c>
      <c r="Q35" s="89">
        <f t="shared" si="18"/>
        <v>213.73524459259951</v>
      </c>
      <c r="R35" s="89">
        <f t="shared" si="18"/>
        <v>223.81976129296871</v>
      </c>
    </row>
    <row r="36" spans="1:86" s="52" customFormat="1" x14ac:dyDescent="0.25">
      <c r="A36" s="1"/>
      <c r="B36" s="1"/>
      <c r="C36" s="21"/>
      <c r="D36" s="21"/>
      <c r="E36" s="21"/>
      <c r="F36" s="21"/>
      <c r="G36" s="21"/>
      <c r="H36" s="66"/>
      <c r="I36" s="12"/>
      <c r="J36" s="90"/>
      <c r="K36" s="90"/>
      <c r="L36" s="90"/>
      <c r="M36" s="90"/>
      <c r="N36" s="90"/>
      <c r="O36" s="90"/>
      <c r="P36" s="90"/>
      <c r="Q36" s="90"/>
      <c r="R36" s="90"/>
    </row>
    <row r="37" spans="1:86" s="52" customFormat="1" x14ac:dyDescent="0.25">
      <c r="A37" s="1"/>
      <c r="B37" s="1" t="s">
        <v>15</v>
      </c>
      <c r="C37" s="11"/>
      <c r="D37" s="11"/>
      <c r="E37" s="11"/>
      <c r="F37" s="11">
        <f t="shared" ref="F37:R37" si="19">F31</f>
        <v>48.90000000000002</v>
      </c>
      <c r="G37" s="11">
        <f t="shared" si="19"/>
        <v>72.299999999999983</v>
      </c>
      <c r="H37" s="11">
        <f t="shared" si="19"/>
        <v>102.49999999999999</v>
      </c>
      <c r="I37" s="38">
        <f t="shared" si="19"/>
        <v>121.92631506849315</v>
      </c>
      <c r="J37" s="89">
        <f t="shared" si="19"/>
        <v>136.32961643835614</v>
      </c>
      <c r="K37" s="89">
        <f t="shared" si="19"/>
        <v>147.07890410958905</v>
      </c>
      <c r="L37" s="89">
        <f t="shared" si="19"/>
        <v>158.62394298561051</v>
      </c>
      <c r="M37" s="89">
        <f t="shared" si="19"/>
        <v>170.24294373606287</v>
      </c>
      <c r="N37" s="89">
        <f t="shared" si="19"/>
        <v>181.82086370432216</v>
      </c>
      <c r="O37" s="89">
        <f t="shared" si="19"/>
        <v>193.23445265290198</v>
      </c>
      <c r="P37" s="89">
        <f t="shared" si="19"/>
        <v>204.35418030516976</v>
      </c>
      <c r="Q37" s="89">
        <f t="shared" si="19"/>
        <v>215.0464729669861</v>
      </c>
      <c r="R37" s="89">
        <f t="shared" si="19"/>
        <v>225.17621322389729</v>
      </c>
    </row>
    <row r="38" spans="1:86" s="52" customFormat="1" x14ac:dyDescent="0.25">
      <c r="A38" s="1"/>
      <c r="B38" s="73" t="s">
        <v>16</v>
      </c>
      <c r="C38" s="74"/>
      <c r="D38" s="74"/>
      <c r="E38" s="74"/>
      <c r="F38" s="74">
        <f>F37/F11</f>
        <v>9.1401869158878546E-2</v>
      </c>
      <c r="G38" s="74">
        <f>G37/G11</f>
        <v>0.12074148296593185</v>
      </c>
      <c r="H38" s="74">
        <f>H37/H11</f>
        <v>0.1348506775424286</v>
      </c>
      <c r="I38" s="75">
        <f t="shared" ref="I38" si="20">I37/I11</f>
        <v>0.14580824801006104</v>
      </c>
      <c r="J38" s="76">
        <f t="shared" ref="J38" si="21">J37/J11</f>
        <v>0.14971076457617463</v>
      </c>
      <c r="K38" s="76">
        <f t="shared" ref="K38" si="22">K37/K11</f>
        <v>0.15200382814136942</v>
      </c>
      <c r="L38" s="76">
        <f t="shared" ref="L38" si="23">L37/L11</f>
        <v>0.15400382814136943</v>
      </c>
      <c r="M38" s="76">
        <f t="shared" ref="M38" si="24">M37/M11</f>
        <v>0.1560038281413694</v>
      </c>
      <c r="N38" s="76">
        <f t="shared" ref="N38" si="25">N37/N11</f>
        <v>0.1580038281413694</v>
      </c>
      <c r="O38" s="76">
        <f t="shared" ref="O38" si="26">O37/O11</f>
        <v>0.16000382814136943</v>
      </c>
      <c r="P38" s="76">
        <f t="shared" ref="P38" si="27">P37/P11</f>
        <v>0.1620038281413694</v>
      </c>
      <c r="Q38" s="76">
        <f t="shared" ref="Q38" si="28">Q37/Q11</f>
        <v>0.16400382814136941</v>
      </c>
      <c r="R38" s="76">
        <f t="shared" ref="R38" si="29">R37/R11</f>
        <v>0.16600382814136941</v>
      </c>
    </row>
    <row r="39" spans="1:86" s="52" customFormat="1" x14ac:dyDescent="0.25">
      <c r="A39" s="1"/>
      <c r="B39" s="13"/>
      <c r="C39" s="1"/>
      <c r="D39" s="1"/>
      <c r="E39" s="2"/>
      <c r="F39" s="1"/>
      <c r="G39" s="1"/>
      <c r="H39" s="1"/>
      <c r="I39" s="12"/>
      <c r="J39" s="90"/>
      <c r="K39" s="90"/>
      <c r="L39" s="90"/>
      <c r="M39" s="90"/>
      <c r="N39" s="90"/>
      <c r="O39" s="90"/>
      <c r="P39" s="90"/>
      <c r="Q39" s="90"/>
      <c r="R39" s="90"/>
    </row>
    <row r="40" spans="1:86" s="52" customFormat="1" x14ac:dyDescent="0.25">
      <c r="A40" s="1"/>
      <c r="B40" s="1" t="s">
        <v>17</v>
      </c>
      <c r="C40" s="11"/>
      <c r="D40" s="11"/>
      <c r="E40" s="11"/>
      <c r="F40" s="83">
        <v>12.5</v>
      </c>
      <c r="G40" s="83">
        <v>19.7</v>
      </c>
      <c r="H40" s="83">
        <v>27.5</v>
      </c>
      <c r="I40" s="20">
        <f>I37*I41</f>
        <v>32.92010506849315</v>
      </c>
      <c r="J40" s="88">
        <f t="shared" ref="J40:R40" si="30">J37*J41</f>
        <v>36.808996438356161</v>
      </c>
      <c r="K40" s="88">
        <f t="shared" si="30"/>
        <v>39.711304109589044</v>
      </c>
      <c r="L40" s="88">
        <f t="shared" si="30"/>
        <v>42.828464606114842</v>
      </c>
      <c r="M40" s="88">
        <f t="shared" si="30"/>
        <v>45.965594808736981</v>
      </c>
      <c r="N40" s="88">
        <f t="shared" si="30"/>
        <v>49.091633200166989</v>
      </c>
      <c r="O40" s="88">
        <f t="shared" si="30"/>
        <v>52.173302216283538</v>
      </c>
      <c r="P40" s="88">
        <f t="shared" si="30"/>
        <v>55.175628682395839</v>
      </c>
      <c r="Q40" s="88">
        <f t="shared" si="30"/>
        <v>58.062547701086253</v>
      </c>
      <c r="R40" s="88">
        <f t="shared" si="30"/>
        <v>60.797577570452276</v>
      </c>
    </row>
    <row r="41" spans="1:86" s="52" customFormat="1" x14ac:dyDescent="0.25">
      <c r="A41" s="1"/>
      <c r="B41" s="73" t="s">
        <v>18</v>
      </c>
      <c r="C41" s="77"/>
      <c r="D41" s="77"/>
      <c r="E41" s="77"/>
      <c r="F41" s="77">
        <f t="shared" ref="F41:H41" si="31">F40/F37</f>
        <v>0.25562372188139049</v>
      </c>
      <c r="G41" s="77">
        <f t="shared" si="31"/>
        <v>0.27247579529737209</v>
      </c>
      <c r="H41" s="77">
        <f t="shared" si="31"/>
        <v>0.26829268292682928</v>
      </c>
      <c r="I41" s="78">
        <v>0.27</v>
      </c>
      <c r="J41" s="87">
        <v>0.27</v>
      </c>
      <c r="K41" s="87">
        <v>0.27</v>
      </c>
      <c r="L41" s="87">
        <v>0.27</v>
      </c>
      <c r="M41" s="87">
        <v>0.27</v>
      </c>
      <c r="N41" s="87">
        <v>0.27</v>
      </c>
      <c r="O41" s="87">
        <v>0.27</v>
      </c>
      <c r="P41" s="87">
        <v>0.27</v>
      </c>
      <c r="Q41" s="87">
        <v>0.27</v>
      </c>
      <c r="R41" s="87">
        <v>0.27</v>
      </c>
    </row>
    <row r="42" spans="1:86" s="52" customFormat="1" x14ac:dyDescent="0.25">
      <c r="A42" s="1"/>
      <c r="B42" s="1"/>
      <c r="C42" s="1"/>
      <c r="D42" s="1"/>
      <c r="E42" s="1"/>
      <c r="F42" s="1"/>
      <c r="G42" s="1"/>
      <c r="H42" s="1"/>
      <c r="I42" s="12"/>
      <c r="J42" s="90"/>
      <c r="K42" s="90"/>
      <c r="L42" s="90"/>
      <c r="M42" s="90"/>
      <c r="N42" s="90"/>
      <c r="O42" s="90"/>
      <c r="P42" s="90"/>
      <c r="Q42" s="90"/>
      <c r="R42" s="90"/>
    </row>
    <row r="43" spans="1:86" s="52" customFormat="1" x14ac:dyDescent="0.25">
      <c r="A43" s="1"/>
      <c r="B43" s="9" t="s">
        <v>19</v>
      </c>
      <c r="C43" s="9"/>
      <c r="D43" s="9"/>
      <c r="E43" s="10"/>
      <c r="F43" s="9">
        <v>2020</v>
      </c>
      <c r="G43" s="9">
        <v>2021</v>
      </c>
      <c r="H43" s="9">
        <v>2022</v>
      </c>
      <c r="I43" s="65">
        <v>2023</v>
      </c>
      <c r="J43" s="91">
        <v>2024</v>
      </c>
      <c r="K43" s="91">
        <v>2025</v>
      </c>
      <c r="L43" s="91">
        <v>2026</v>
      </c>
      <c r="M43" s="91">
        <v>2027</v>
      </c>
      <c r="N43" s="91">
        <v>2028</v>
      </c>
      <c r="O43" s="91">
        <v>2029</v>
      </c>
      <c r="P43" s="91">
        <v>2030</v>
      </c>
      <c r="Q43" s="91">
        <v>2031</v>
      </c>
      <c r="R43" s="91">
        <v>2032</v>
      </c>
      <c r="S43" s="9">
        <v>2033</v>
      </c>
      <c r="T43" s="9">
        <v>2034</v>
      </c>
      <c r="U43" s="9">
        <v>2035</v>
      </c>
      <c r="V43" s="9">
        <v>2036</v>
      </c>
      <c r="W43" s="9">
        <v>2037</v>
      </c>
      <c r="X43" s="9">
        <v>2038</v>
      </c>
      <c r="Y43" s="9">
        <v>2039</v>
      </c>
      <c r="Z43" s="9">
        <v>2040</v>
      </c>
      <c r="AA43" s="9">
        <v>2041</v>
      </c>
      <c r="AB43" s="9">
        <v>2042</v>
      </c>
      <c r="AC43" s="9">
        <v>2043</v>
      </c>
      <c r="AD43" s="9">
        <v>2044</v>
      </c>
      <c r="AE43" s="9">
        <v>2045</v>
      </c>
      <c r="AF43" s="9">
        <v>2046</v>
      </c>
      <c r="AG43" s="9">
        <v>2047</v>
      </c>
      <c r="AH43" s="9">
        <v>2048</v>
      </c>
      <c r="AI43" s="9">
        <v>2049</v>
      </c>
      <c r="AJ43" s="9">
        <v>2050</v>
      </c>
      <c r="AK43" s="9">
        <v>2051</v>
      </c>
      <c r="AL43" s="9">
        <v>2052</v>
      </c>
      <c r="AM43" s="9">
        <v>2053</v>
      </c>
      <c r="AN43" s="9">
        <v>2054</v>
      </c>
      <c r="AO43" s="9">
        <v>2055</v>
      </c>
      <c r="AP43" s="9">
        <v>2056</v>
      </c>
      <c r="AQ43" s="9">
        <v>2057</v>
      </c>
      <c r="AR43" s="9">
        <v>2058</v>
      </c>
      <c r="AS43" s="9">
        <v>2059</v>
      </c>
      <c r="AT43" s="9">
        <v>2060</v>
      </c>
      <c r="AU43" s="9">
        <v>2061</v>
      </c>
      <c r="AV43" s="9">
        <v>2062</v>
      </c>
      <c r="AW43" s="9">
        <v>2063</v>
      </c>
      <c r="AX43" s="9">
        <v>2064</v>
      </c>
      <c r="AY43" s="9">
        <v>2065</v>
      </c>
      <c r="AZ43" s="9">
        <v>2066</v>
      </c>
      <c r="BA43" s="9">
        <v>2067</v>
      </c>
      <c r="BB43" s="9">
        <v>2068</v>
      </c>
      <c r="BC43" s="9">
        <v>2069</v>
      </c>
      <c r="BD43" s="9">
        <v>2070</v>
      </c>
      <c r="BE43" s="9">
        <v>2071</v>
      </c>
      <c r="BF43" s="9">
        <v>2072</v>
      </c>
      <c r="BG43" s="9">
        <v>2073</v>
      </c>
      <c r="BH43" s="9">
        <v>2074</v>
      </c>
      <c r="BI43" s="9">
        <v>2075</v>
      </c>
      <c r="BJ43" s="9">
        <v>2076</v>
      </c>
      <c r="BK43" s="9">
        <v>2077</v>
      </c>
      <c r="BL43" s="9">
        <v>2078</v>
      </c>
      <c r="BM43" s="9">
        <v>2079</v>
      </c>
      <c r="BN43" s="9">
        <v>2080</v>
      </c>
      <c r="BO43" s="9">
        <v>2081</v>
      </c>
      <c r="BP43" s="9">
        <v>2082</v>
      </c>
      <c r="BQ43" s="9">
        <v>2083</v>
      </c>
      <c r="BR43" s="9">
        <v>2084</v>
      </c>
      <c r="BS43" s="9">
        <v>2085</v>
      </c>
      <c r="BT43" s="9">
        <v>2086</v>
      </c>
      <c r="BU43" s="9">
        <v>2087</v>
      </c>
      <c r="BV43" s="9">
        <v>2088</v>
      </c>
      <c r="BW43" s="9">
        <v>2089</v>
      </c>
      <c r="BX43" s="9">
        <v>2090</v>
      </c>
      <c r="BY43" s="9">
        <v>2091</v>
      </c>
      <c r="BZ43" s="9">
        <v>2092</v>
      </c>
      <c r="CA43" s="9">
        <v>2093</v>
      </c>
      <c r="CB43" s="9">
        <v>2094</v>
      </c>
      <c r="CC43" s="9">
        <v>2095</v>
      </c>
      <c r="CD43" s="9">
        <v>2096</v>
      </c>
      <c r="CE43" s="9">
        <v>2097</v>
      </c>
      <c r="CF43" s="9">
        <v>2098</v>
      </c>
      <c r="CG43" s="9">
        <v>2099</v>
      </c>
      <c r="CH43" s="9">
        <v>2100</v>
      </c>
    </row>
    <row r="44" spans="1:86" s="52" customFormat="1" x14ac:dyDescent="0.25">
      <c r="A44" s="1"/>
      <c r="B44" s="1" t="s">
        <v>20</v>
      </c>
      <c r="C44" s="11"/>
      <c r="D44" s="11"/>
      <c r="E44" s="23"/>
      <c r="F44" s="11">
        <v>20.2</v>
      </c>
      <c r="G44" s="11">
        <v>17.8</v>
      </c>
      <c r="H44" s="11">
        <v>21</v>
      </c>
      <c r="I44" s="20">
        <v>29.95</v>
      </c>
      <c r="J44" s="88">
        <v>30.45</v>
      </c>
      <c r="K44" s="88">
        <v>30.95</v>
      </c>
      <c r="L44" s="88">
        <v>35</v>
      </c>
      <c r="M44" s="88">
        <f t="shared" ref="I44:R44" si="32">M45*M11</f>
        <v>37.103320835055818</v>
      </c>
      <c r="N44" s="88">
        <f t="shared" si="32"/>
        <v>39.125060694199561</v>
      </c>
      <c r="O44" s="88">
        <f t="shared" si="32"/>
        <v>41.061338759931729</v>
      </c>
      <c r="P44" s="88">
        <f t="shared" si="32"/>
        <v>42.888135484753498</v>
      </c>
      <c r="Q44" s="88">
        <f t="shared" si="32"/>
        <v>44.58176472914419</v>
      </c>
      <c r="R44" s="88">
        <f t="shared" si="32"/>
        <v>46.119365651571847</v>
      </c>
    </row>
    <row r="45" spans="1:86" s="52" customFormat="1" x14ac:dyDescent="0.25">
      <c r="A45" s="1"/>
      <c r="B45" s="73" t="s">
        <v>16</v>
      </c>
      <c r="C45" s="74"/>
      <c r="D45" s="74"/>
      <c r="E45" s="74"/>
      <c r="F45" s="74">
        <f>F44/F11</f>
        <v>3.7757009345794394E-2</v>
      </c>
      <c r="G45" s="74">
        <f>G44/G11</f>
        <v>2.9726118904475622E-2</v>
      </c>
      <c r="H45" s="74">
        <f>H44/H11</f>
        <v>2.7627943691619524E-2</v>
      </c>
      <c r="I45" s="75">
        <f t="shared" ref="I45:L45" si="33">I44/I11</f>
        <v>3.5816361918656794E-2</v>
      </c>
      <c r="J45" s="76">
        <f t="shared" si="33"/>
        <v>3.3438756012387161E-2</v>
      </c>
      <c r="K45" s="76">
        <f t="shared" si="33"/>
        <v>3.1986357999173209E-2</v>
      </c>
      <c r="L45" s="76">
        <f t="shared" si="33"/>
        <v>3.3980582524271843E-2</v>
      </c>
      <c r="M45" s="76">
        <v>3.4000000000000002E-2</v>
      </c>
      <c r="N45" s="76">
        <v>3.4000000000000002E-2</v>
      </c>
      <c r="O45" s="76">
        <v>3.4000000000000002E-2</v>
      </c>
      <c r="P45" s="76">
        <v>3.4000000000000002E-2</v>
      </c>
      <c r="Q45" s="76">
        <v>3.4000000000000002E-2</v>
      </c>
      <c r="R45" s="76">
        <v>3.4000000000000002E-2</v>
      </c>
    </row>
    <row r="46" spans="1:86" s="52" customFormat="1" x14ac:dyDescent="0.25">
      <c r="A46" s="1"/>
      <c r="B46" s="1"/>
      <c r="C46" s="1"/>
      <c r="D46" s="1"/>
      <c r="E46" s="2"/>
      <c r="F46" s="1"/>
      <c r="G46" s="1"/>
      <c r="H46" s="1"/>
      <c r="I46" s="12"/>
      <c r="J46" s="90"/>
      <c r="K46" s="90"/>
      <c r="L46" s="90"/>
      <c r="M46" s="90"/>
      <c r="N46" s="90"/>
      <c r="O46" s="90"/>
      <c r="P46" s="90"/>
      <c r="Q46" s="90"/>
      <c r="R46" s="90"/>
    </row>
    <row r="47" spans="1:86" s="52" customFormat="1" x14ac:dyDescent="0.25">
      <c r="A47" s="1"/>
      <c r="B47" s="1" t="s">
        <v>21</v>
      </c>
      <c r="C47" s="11"/>
      <c r="D47" s="11"/>
      <c r="E47" s="11"/>
      <c r="F47" s="37">
        <v>-23</v>
      </c>
      <c r="G47" s="37">
        <v>-38.1</v>
      </c>
      <c r="H47" s="37">
        <v>-36.700000000000003</v>
      </c>
      <c r="I47" s="20">
        <v>-47.35</v>
      </c>
      <c r="J47" s="88">
        <v>-49</v>
      </c>
      <c r="K47" s="88">
        <v>-49.85</v>
      </c>
      <c r="L47" s="88">
        <f t="shared" ref="I47:Q47" si="34">L48*L11</f>
        <v>-53.559999999999995</v>
      </c>
      <c r="M47" s="88">
        <f t="shared" si="34"/>
        <v>-56.746255394791241</v>
      </c>
      <c r="N47" s="88">
        <f t="shared" si="34"/>
        <v>-59.838328120540496</v>
      </c>
      <c r="O47" s="88">
        <f t="shared" si="34"/>
        <v>-62.799694574013223</v>
      </c>
      <c r="P47" s="88">
        <f t="shared" si="34"/>
        <v>-65.59361897668181</v>
      </c>
      <c r="Q47" s="88">
        <f t="shared" si="34"/>
        <v>-68.183875468102869</v>
      </c>
      <c r="R47" s="88">
        <f>R48*R11</f>
        <v>-70.535500408286339</v>
      </c>
    </row>
    <row r="48" spans="1:86" s="52" customFormat="1" x14ac:dyDescent="0.25">
      <c r="A48" s="1"/>
      <c r="B48" s="73" t="s">
        <v>16</v>
      </c>
      <c r="C48" s="74"/>
      <c r="D48" s="74"/>
      <c r="E48" s="74"/>
      <c r="F48" s="74">
        <f>F47/F11</f>
        <v>-4.2990654205607479E-2</v>
      </c>
      <c r="G48" s="74">
        <f>G47/G11</f>
        <v>-6.3627254509018044E-2</v>
      </c>
      <c r="H48" s="74">
        <f>H47/H11</f>
        <v>-4.828312064202079E-2</v>
      </c>
      <c r="I48" s="75">
        <f t="shared" ref="I48:K48" si="35">I47/I11</f>
        <v>-5.6624532115138543E-2</v>
      </c>
      <c r="J48" s="76">
        <f t="shared" si="35"/>
        <v>-5.3809492433726472E-2</v>
      </c>
      <c r="K48" s="76">
        <f t="shared" si="35"/>
        <v>-5.1519222819346837E-2</v>
      </c>
      <c r="L48" s="76">
        <v>-5.1999999999999998E-2</v>
      </c>
      <c r="M48" s="76">
        <v>-5.1999999999999998E-2</v>
      </c>
      <c r="N48" s="76">
        <v>-5.1999999999999998E-2</v>
      </c>
      <c r="O48" s="76">
        <v>-5.1999999999999998E-2</v>
      </c>
      <c r="P48" s="76">
        <v>-5.1999999999999998E-2</v>
      </c>
      <c r="Q48" s="76">
        <v>-5.1999999999999998E-2</v>
      </c>
      <c r="R48" s="76">
        <v>-5.1999999999999998E-2</v>
      </c>
    </row>
    <row r="49" spans="1:86" s="52" customFormat="1" x14ac:dyDescent="0.25">
      <c r="A49" s="1"/>
      <c r="B49" s="1"/>
      <c r="C49" s="1"/>
      <c r="D49" s="1"/>
      <c r="E49" s="2"/>
      <c r="F49" s="1"/>
      <c r="G49" s="1"/>
      <c r="H49" s="1"/>
      <c r="I49" s="12"/>
      <c r="J49" s="90"/>
      <c r="K49" s="90"/>
      <c r="L49" s="90"/>
      <c r="M49" s="90"/>
      <c r="N49" s="90"/>
      <c r="O49" s="90"/>
      <c r="P49" s="90"/>
      <c r="Q49" s="90"/>
      <c r="R49" s="90"/>
    </row>
    <row r="50" spans="1:86" s="52" customFormat="1" x14ac:dyDescent="0.25">
      <c r="A50" s="1"/>
      <c r="B50" s="1" t="s">
        <v>22</v>
      </c>
      <c r="C50" s="1"/>
      <c r="D50" s="1"/>
      <c r="E50" s="1"/>
      <c r="F50" s="67">
        <f>-22-19.9-15+26.7+18.3</f>
        <v>-11.899999999999999</v>
      </c>
      <c r="G50" s="67">
        <f>-5.3+13.9-17.1+56.8-22</f>
        <v>26.299999999999997</v>
      </c>
      <c r="H50" s="67">
        <f>8.8-54.9+14.8+35.9+29.4+10.4</f>
        <v>44.4</v>
      </c>
      <c r="I50" s="20">
        <f>-30.9-13+40.5+2.1-17.1</f>
        <v>-18.399999999999999</v>
      </c>
      <c r="J50" s="88">
        <f t="shared" ref="I50:R50" si="36">J51*J11</f>
        <v>-9.1061999999999994</v>
      </c>
      <c r="K50" s="88">
        <f t="shared" si="36"/>
        <v>-9.6760000000000002</v>
      </c>
      <c r="L50" s="88">
        <f t="shared" si="36"/>
        <v>-10.3</v>
      </c>
      <c r="M50" s="88">
        <f t="shared" si="36"/>
        <v>-10.912741422075239</v>
      </c>
      <c r="N50" s="88">
        <f t="shared" si="36"/>
        <v>-11.507370792411635</v>
      </c>
      <c r="O50" s="88">
        <f t="shared" si="36"/>
        <v>-12.076864341156391</v>
      </c>
      <c r="P50" s="88">
        <f t="shared" si="36"/>
        <v>-12.614157495515734</v>
      </c>
      <c r="Q50" s="88">
        <f t="shared" si="36"/>
        <v>-13.112283743865937</v>
      </c>
      <c r="R50" s="88">
        <f t="shared" si="36"/>
        <v>-13.564519309285837</v>
      </c>
    </row>
    <row r="51" spans="1:86" s="52" customFormat="1" x14ac:dyDescent="0.25">
      <c r="A51" s="1"/>
      <c r="B51" s="73" t="s">
        <v>16</v>
      </c>
      <c r="C51" s="74"/>
      <c r="D51" s="74"/>
      <c r="E51" s="74"/>
      <c r="F51" s="74">
        <f>F50/F11</f>
        <v>-2.2242990654205604E-2</v>
      </c>
      <c r="G51" s="74">
        <f>G50/G11</f>
        <v>4.3921175684702739E-2</v>
      </c>
      <c r="H51" s="74">
        <f>H50/H11</f>
        <v>5.8413366662281273E-2</v>
      </c>
      <c r="I51" s="75">
        <f>I50/I11</f>
        <v>-2.2004042046854258E-2</v>
      </c>
      <c r="J51" s="87">
        <v>-0.01</v>
      </c>
      <c r="K51" s="87">
        <v>-0.01</v>
      </c>
      <c r="L51" s="87">
        <v>-0.01</v>
      </c>
      <c r="M51" s="87">
        <v>-0.01</v>
      </c>
      <c r="N51" s="87">
        <v>-0.01</v>
      </c>
      <c r="O51" s="87">
        <v>-0.01</v>
      </c>
      <c r="P51" s="87">
        <v>-0.01</v>
      </c>
      <c r="Q51" s="87">
        <v>-0.01</v>
      </c>
      <c r="R51" s="87">
        <v>-0.01</v>
      </c>
    </row>
    <row r="52" spans="1:86" s="52" customFormat="1" x14ac:dyDescent="0.25">
      <c r="A52" s="1"/>
      <c r="B52" s="1"/>
      <c r="C52" s="1"/>
      <c r="D52" s="1"/>
      <c r="E52" s="1"/>
      <c r="F52" s="1"/>
      <c r="G52" s="1"/>
      <c r="H52" s="1"/>
      <c r="I52" s="12"/>
      <c r="J52" s="90"/>
      <c r="K52" s="90"/>
      <c r="L52" s="90"/>
      <c r="M52" s="90"/>
      <c r="N52" s="90"/>
      <c r="O52" s="90"/>
      <c r="P52" s="90"/>
      <c r="Q52" s="90"/>
      <c r="R52" s="90"/>
    </row>
    <row r="53" spans="1:86" s="52" customFormat="1" x14ac:dyDescent="0.25">
      <c r="A53" s="1"/>
      <c r="B53" s="9" t="s">
        <v>23</v>
      </c>
      <c r="C53" s="11"/>
      <c r="D53" s="11"/>
      <c r="E53" s="11"/>
      <c r="F53" s="83">
        <f>F37-F40</f>
        <v>36.40000000000002</v>
      </c>
      <c r="G53" s="83">
        <f t="shared" ref="G53:H53" si="37">G37-G40</f>
        <v>52.59999999999998</v>
      </c>
      <c r="H53" s="83">
        <f t="shared" si="37"/>
        <v>74.999999999999986</v>
      </c>
      <c r="I53" s="38">
        <f>I37-I40</f>
        <v>89.00621000000001</v>
      </c>
      <c r="J53" s="89">
        <f t="shared" ref="J53:R53" si="38">J37-J40</f>
        <v>99.52061999999998</v>
      </c>
      <c r="K53" s="89">
        <f t="shared" si="38"/>
        <v>107.36760000000001</v>
      </c>
      <c r="L53" s="89">
        <f t="shared" si="38"/>
        <v>115.79547837949568</v>
      </c>
      <c r="M53" s="89">
        <f t="shared" si="38"/>
        <v>124.27734892732589</v>
      </c>
      <c r="N53" s="89">
        <f t="shared" si="38"/>
        <v>132.72923050415517</v>
      </c>
      <c r="O53" s="89">
        <f t="shared" si="38"/>
        <v>141.06115043661845</v>
      </c>
      <c r="P53" s="89">
        <f t="shared" si="38"/>
        <v>149.17855162277391</v>
      </c>
      <c r="Q53" s="89">
        <f t="shared" si="38"/>
        <v>156.98392526589984</v>
      </c>
      <c r="R53" s="89">
        <f t="shared" si="38"/>
        <v>164.37863565344503</v>
      </c>
    </row>
    <row r="54" spans="1:86" s="52" customFormat="1" x14ac:dyDescent="0.25">
      <c r="A54" s="1"/>
      <c r="B54" s="9" t="s">
        <v>50</v>
      </c>
      <c r="C54" s="11"/>
      <c r="D54" s="11"/>
      <c r="E54" s="11"/>
      <c r="F54" s="11">
        <v>0.1</v>
      </c>
      <c r="G54" s="11">
        <v>-0.3</v>
      </c>
      <c r="H54" s="11">
        <v>-0.6</v>
      </c>
      <c r="I54" s="38"/>
      <c r="J54" s="89"/>
      <c r="K54" s="89"/>
      <c r="L54" s="89"/>
      <c r="M54" s="89"/>
      <c r="N54" s="89"/>
      <c r="O54" s="89"/>
      <c r="P54" s="89"/>
      <c r="Q54" s="89"/>
      <c r="R54" s="89"/>
    </row>
    <row r="55" spans="1:86" s="52" customFormat="1" x14ac:dyDescent="0.25">
      <c r="A55" s="1"/>
      <c r="B55" s="9" t="s">
        <v>24</v>
      </c>
      <c r="C55" s="11"/>
      <c r="D55" s="11"/>
      <c r="E55" s="11">
        <v>27</v>
      </c>
      <c r="F55" s="84">
        <f>F35-F40+F54</f>
        <v>34.5</v>
      </c>
      <c r="G55" s="84">
        <f t="shared" ref="G55:H55" si="39">G35-G40+G54</f>
        <v>51</v>
      </c>
      <c r="H55" s="84">
        <f t="shared" si="39"/>
        <v>74.2</v>
      </c>
      <c r="I55" s="86">
        <f>I35-I40-I54</f>
        <v>88.170000000000016</v>
      </c>
      <c r="J55" s="92">
        <f t="shared" ref="J55:R55" si="40">J35-J40-J54</f>
        <v>98.609999999999985</v>
      </c>
      <c r="K55" s="92">
        <f t="shared" si="40"/>
        <v>106.4</v>
      </c>
      <c r="L55" s="92">
        <f t="shared" si="40"/>
        <v>114.76547837949568</v>
      </c>
      <c r="M55" s="92">
        <f t="shared" si="40"/>
        <v>123.18607478511838</v>
      </c>
      <c r="N55" s="92">
        <f t="shared" si="40"/>
        <v>131.578493424914</v>
      </c>
      <c r="O55" s="92">
        <f t="shared" si="40"/>
        <v>139.85346400250282</v>
      </c>
      <c r="P55" s="92">
        <f t="shared" si="40"/>
        <v>147.91713587322238</v>
      </c>
      <c r="Q55" s="92">
        <f t="shared" si="40"/>
        <v>155.67269689151325</v>
      </c>
      <c r="R55" s="92">
        <f t="shared" si="40"/>
        <v>163.02218372251644</v>
      </c>
      <c r="S55" s="53">
        <f>R55*(1+$E$6)</f>
        <v>166.28262739696677</v>
      </c>
      <c r="T55" s="53">
        <f t="shared" ref="T55:CE55" si="41">S55*(1+$E$6)</f>
        <v>169.60827994490612</v>
      </c>
      <c r="U55" s="53">
        <f t="shared" si="41"/>
        <v>173.00044554380423</v>
      </c>
      <c r="V55" s="53">
        <f t="shared" si="41"/>
        <v>176.46045445468033</v>
      </c>
      <c r="W55" s="53">
        <f t="shared" si="41"/>
        <v>179.98966354377393</v>
      </c>
      <c r="X55" s="53">
        <f t="shared" si="41"/>
        <v>183.58945681464942</v>
      </c>
      <c r="Y55" s="53">
        <f t="shared" si="41"/>
        <v>187.26124595094242</v>
      </c>
      <c r="Z55" s="53">
        <f t="shared" si="41"/>
        <v>191.00647086996128</v>
      </c>
      <c r="AA55" s="53">
        <f t="shared" si="41"/>
        <v>194.82660028736049</v>
      </c>
      <c r="AB55" s="53">
        <f t="shared" si="41"/>
        <v>198.72313229310771</v>
      </c>
      <c r="AC55" s="53">
        <f t="shared" si="41"/>
        <v>202.69759493896987</v>
      </c>
      <c r="AD55" s="53">
        <f t="shared" si="41"/>
        <v>206.75154683774926</v>
      </c>
      <c r="AE55" s="53">
        <f t="shared" si="41"/>
        <v>210.88657777450425</v>
      </c>
      <c r="AF55" s="53">
        <f t="shared" si="41"/>
        <v>215.10430932999432</v>
      </c>
      <c r="AG55" s="53">
        <f t="shared" si="41"/>
        <v>219.40639551659422</v>
      </c>
      <c r="AH55" s="53">
        <f t="shared" si="41"/>
        <v>223.79452342692611</v>
      </c>
      <c r="AI55" s="53">
        <f t="shared" si="41"/>
        <v>228.27041389546463</v>
      </c>
      <c r="AJ55" s="53">
        <f t="shared" si="41"/>
        <v>232.83582217337391</v>
      </c>
      <c r="AK55" s="53">
        <f t="shared" si="41"/>
        <v>237.49253861684139</v>
      </c>
      <c r="AL55" s="53">
        <f t="shared" si="41"/>
        <v>242.24238938917821</v>
      </c>
      <c r="AM55" s="53">
        <f t="shared" si="41"/>
        <v>247.08723717696179</v>
      </c>
      <c r="AN55" s="53">
        <f t="shared" si="41"/>
        <v>252.02898192050102</v>
      </c>
      <c r="AO55" s="53">
        <f t="shared" si="41"/>
        <v>257.06956155891106</v>
      </c>
      <c r="AP55" s="53">
        <f t="shared" si="41"/>
        <v>262.21095279008927</v>
      </c>
      <c r="AQ55" s="53">
        <f t="shared" si="41"/>
        <v>267.45517184589107</v>
      </c>
      <c r="AR55" s="53">
        <f t="shared" si="41"/>
        <v>272.80427528280887</v>
      </c>
      <c r="AS55" s="53">
        <f t="shared" si="41"/>
        <v>278.26036078846505</v>
      </c>
      <c r="AT55" s="53">
        <f t="shared" si="41"/>
        <v>283.82556800423436</v>
      </c>
      <c r="AU55" s="53">
        <f t="shared" si="41"/>
        <v>289.50207936431906</v>
      </c>
      <c r="AV55" s="53">
        <f t="shared" si="41"/>
        <v>295.29212095160545</v>
      </c>
      <c r="AW55" s="53">
        <f t="shared" si="41"/>
        <v>301.19796337063758</v>
      </c>
      <c r="AX55" s="53">
        <f t="shared" si="41"/>
        <v>307.22192263805033</v>
      </c>
      <c r="AY55" s="53">
        <f t="shared" si="41"/>
        <v>313.36636109081132</v>
      </c>
      <c r="AZ55" s="53">
        <f t="shared" si="41"/>
        <v>319.63368831262756</v>
      </c>
      <c r="BA55" s="53">
        <f t="shared" si="41"/>
        <v>326.02636207888008</v>
      </c>
      <c r="BB55" s="53">
        <f t="shared" si="41"/>
        <v>332.54688932045769</v>
      </c>
      <c r="BC55" s="53">
        <f t="shared" si="41"/>
        <v>339.19782710686684</v>
      </c>
      <c r="BD55" s="53">
        <f t="shared" si="41"/>
        <v>345.98178364900417</v>
      </c>
      <c r="BE55" s="53">
        <f t="shared" si="41"/>
        <v>352.90141932198424</v>
      </c>
      <c r="BF55" s="53">
        <f t="shared" si="41"/>
        <v>359.95944770842391</v>
      </c>
      <c r="BG55" s="53">
        <f t="shared" si="41"/>
        <v>367.15863666259241</v>
      </c>
      <c r="BH55" s="53">
        <f t="shared" si="41"/>
        <v>374.50180939584425</v>
      </c>
      <c r="BI55" s="53">
        <f t="shared" si="41"/>
        <v>381.99184558376112</v>
      </c>
      <c r="BJ55" s="53">
        <f t="shared" si="41"/>
        <v>389.63168249543634</v>
      </c>
      <c r="BK55" s="53">
        <f t="shared" si="41"/>
        <v>397.42431614534507</v>
      </c>
      <c r="BL55" s="53">
        <f t="shared" si="41"/>
        <v>405.37280246825196</v>
      </c>
      <c r="BM55" s="53">
        <f t="shared" si="41"/>
        <v>413.48025851761702</v>
      </c>
      <c r="BN55" s="53">
        <f t="shared" si="41"/>
        <v>421.74986368796937</v>
      </c>
      <c r="BO55" s="53">
        <f t="shared" si="41"/>
        <v>430.18486096172876</v>
      </c>
      <c r="BP55" s="53">
        <f t="shared" si="41"/>
        <v>438.78855818096332</v>
      </c>
      <c r="BQ55" s="53">
        <f t="shared" si="41"/>
        <v>447.56432934458257</v>
      </c>
      <c r="BR55" s="53">
        <f t="shared" si="41"/>
        <v>456.51561593147426</v>
      </c>
      <c r="BS55" s="53">
        <f t="shared" si="41"/>
        <v>465.64592825010374</v>
      </c>
      <c r="BT55" s="53">
        <f t="shared" si="41"/>
        <v>474.9588468151058</v>
      </c>
      <c r="BU55" s="53">
        <f t="shared" si="41"/>
        <v>484.45802375140795</v>
      </c>
      <c r="BV55" s="53">
        <f t="shared" si="41"/>
        <v>494.14718422643614</v>
      </c>
      <c r="BW55" s="53">
        <f t="shared" si="41"/>
        <v>504.03012791096489</v>
      </c>
      <c r="BX55" s="53">
        <f t="shared" si="41"/>
        <v>514.1107304691842</v>
      </c>
      <c r="BY55" s="53">
        <f t="shared" si="41"/>
        <v>524.39294507856789</v>
      </c>
      <c r="BZ55" s="53">
        <f t="shared" si="41"/>
        <v>534.88080398013926</v>
      </c>
      <c r="CA55" s="53">
        <f t="shared" si="41"/>
        <v>545.57842005974203</v>
      </c>
      <c r="CB55" s="53">
        <f t="shared" si="41"/>
        <v>556.48998846093684</v>
      </c>
      <c r="CC55" s="53">
        <f t="shared" si="41"/>
        <v>567.61978823015556</v>
      </c>
      <c r="CD55" s="53">
        <f t="shared" si="41"/>
        <v>578.97218399475867</v>
      </c>
      <c r="CE55" s="53">
        <f t="shared" si="41"/>
        <v>590.5516276746539</v>
      </c>
      <c r="CF55" s="53">
        <f t="shared" ref="CF55:CH55" si="42">CE55*(1+$E$6)</f>
        <v>602.36266022814698</v>
      </c>
      <c r="CG55" s="53">
        <f t="shared" si="42"/>
        <v>614.40991343270991</v>
      </c>
      <c r="CH55" s="53">
        <f t="shared" si="42"/>
        <v>626.69811170136416</v>
      </c>
    </row>
    <row r="56" spans="1:86" s="52" customFormat="1" x14ac:dyDescent="0.25">
      <c r="A56" s="1"/>
      <c r="B56" s="6"/>
      <c r="C56" s="11"/>
      <c r="D56" s="11"/>
      <c r="E56" s="11"/>
      <c r="F56" s="11"/>
      <c r="G56" s="11"/>
      <c r="H56" s="11"/>
      <c r="I56" s="12"/>
      <c r="J56" s="90"/>
      <c r="K56" s="90"/>
      <c r="L56" s="90"/>
      <c r="M56" s="90"/>
      <c r="N56" s="90"/>
      <c r="O56" s="90"/>
      <c r="P56" s="90"/>
      <c r="Q56" s="90"/>
      <c r="R56" s="90"/>
    </row>
    <row r="57" spans="1:86" s="52" customFormat="1" x14ac:dyDescent="0.25">
      <c r="A57" s="1"/>
      <c r="B57" s="9" t="s">
        <v>25</v>
      </c>
      <c r="C57" s="11"/>
      <c r="D57" s="11"/>
      <c r="E57" s="11"/>
      <c r="F57" s="11">
        <f>F53+F44+F47-F50</f>
        <v>45.500000000000021</v>
      </c>
      <c r="G57" s="11">
        <f>G53+G44+G47-G50</f>
        <v>5.9999999999999787</v>
      </c>
      <c r="H57" s="11">
        <f>H53+H44+H47-H50</f>
        <v>14.899999999999984</v>
      </c>
      <c r="I57" s="38">
        <f>I53+I44+I47-I50</f>
        <v>90.00621000000001</v>
      </c>
      <c r="J57" s="11">
        <f>J53+J44+J47-J50</f>
        <v>90.076819999999969</v>
      </c>
      <c r="K57" s="11">
        <f>K53+K44+K47-K50</f>
        <v>98.143600000000006</v>
      </c>
      <c r="L57" s="11">
        <f>L53+L44+L47-L50</f>
        <v>107.53547837949567</v>
      </c>
      <c r="M57" s="11">
        <f>M53+M44+M47-M50</f>
        <v>115.54715578966571</v>
      </c>
      <c r="N57" s="11">
        <f>N53+N44+N47-N50</f>
        <v>123.52333387022587</v>
      </c>
      <c r="O57" s="11">
        <f>O53+O44+O47-O50</f>
        <v>131.39965896369335</v>
      </c>
      <c r="P57" s="11">
        <f>P53+P44+P47-P50</f>
        <v>139.08722562636132</v>
      </c>
      <c r="Q57" s="11">
        <f>Q53+Q44+Q47-Q50</f>
        <v>146.49409827080711</v>
      </c>
      <c r="R57" s="11">
        <f>R53+R44+R47-R50</f>
        <v>153.52702020601637</v>
      </c>
    </row>
    <row r="58" spans="1:86" s="52" customFormat="1" x14ac:dyDescent="0.25">
      <c r="A58" s="1"/>
      <c r="B58" s="24" t="s">
        <v>26</v>
      </c>
      <c r="C58" s="1"/>
      <c r="D58" s="1"/>
      <c r="E58" s="1"/>
      <c r="F58" s="1"/>
      <c r="G58" s="1"/>
      <c r="H58" s="1"/>
      <c r="I58" s="70">
        <f>I57/((1+$E$5)^I9)</f>
        <v>81.839013556329135</v>
      </c>
      <c r="J58" s="71">
        <f>J57/((1+$E$5)^J9)</f>
        <v>74.471288542808068</v>
      </c>
      <c r="K58" s="71">
        <f>K57/((1+$E$5)^K9)</f>
        <v>73.777802939200598</v>
      </c>
      <c r="L58" s="71">
        <f>L57/((1+$E$5)^L9)</f>
        <v>73.502720986772985</v>
      </c>
      <c r="M58" s="71">
        <f>M57/((1+$E$5)^M9)</f>
        <v>71.812296610987204</v>
      </c>
      <c r="N58" s="71">
        <f>N57/((1+$E$5)^N9)</f>
        <v>69.803383181996011</v>
      </c>
      <c r="O58" s="71">
        <f>O57/((1+$E$5)^O9)</f>
        <v>67.516452758683158</v>
      </c>
      <c r="P58" s="71">
        <f>P57/((1+$E$5)^P9)</f>
        <v>64.981620035416583</v>
      </c>
      <c r="Q58" s="71">
        <f>Q57/((1+$E$5)^Q9)</f>
        <v>62.231652037723975</v>
      </c>
      <c r="R58" s="71">
        <f>R57/((1+$E$5)^R9)</f>
        <v>59.301261677049368</v>
      </c>
    </row>
    <row r="59" spans="1:86" s="52" customFormat="1" x14ac:dyDescent="0.25">
      <c r="A59" s="1"/>
      <c r="B59" s="25"/>
      <c r="C59" s="25"/>
      <c r="D59" s="25"/>
      <c r="E59" s="25"/>
      <c r="F59" s="25"/>
      <c r="G59" s="25"/>
      <c r="H59" s="25"/>
      <c r="I59" s="72"/>
      <c r="J59" s="1"/>
      <c r="K59" s="1"/>
      <c r="L59" s="1"/>
      <c r="M59" s="1"/>
      <c r="N59" s="1"/>
      <c r="O59" s="1"/>
      <c r="P59" s="1"/>
      <c r="Q59" s="1"/>
      <c r="R59" s="1"/>
    </row>
    <row r="60" spans="1:86" s="52" customFormat="1" x14ac:dyDescent="0.25">
      <c r="A60" s="1"/>
      <c r="B60" s="1" t="s">
        <v>27</v>
      </c>
      <c r="C60" s="26">
        <f>(R57*(1+$E$6))/($E$5-$E$6)</f>
        <v>1962.4767468177929</v>
      </c>
      <c r="D60" s="1"/>
      <c r="E60" s="1" t="s">
        <v>28</v>
      </c>
      <c r="F60" s="18">
        <f>NPV($E$5,I55:CH55)</f>
        <v>1541.2122195746099</v>
      </c>
      <c r="G60" s="1"/>
      <c r="H60" s="1"/>
      <c r="I60" s="15"/>
      <c r="J60" s="1"/>
      <c r="K60" s="1"/>
      <c r="L60" s="1"/>
      <c r="M60" s="1"/>
      <c r="N60" s="1"/>
      <c r="O60" s="1"/>
      <c r="P60" s="1"/>
      <c r="Q60" s="1"/>
      <c r="R60" s="2"/>
    </row>
    <row r="61" spans="1:86" s="52" customFormat="1" x14ac:dyDescent="0.25">
      <c r="A61" s="1"/>
      <c r="B61" s="3" t="s">
        <v>29</v>
      </c>
      <c r="C61" s="27">
        <f>C60/((1+$E$5)^$R$9)</f>
        <v>758.02517981525921</v>
      </c>
      <c r="D61" s="16"/>
      <c r="E61" s="3"/>
      <c r="F61" s="3"/>
      <c r="G61" s="3"/>
      <c r="H61" s="16"/>
      <c r="I61" s="12"/>
      <c r="J61" s="1"/>
      <c r="K61" s="2"/>
      <c r="L61" s="80" t="s">
        <v>54</v>
      </c>
      <c r="M61" s="80"/>
      <c r="N61" s="80"/>
      <c r="O61" s="80"/>
      <c r="P61" s="80"/>
      <c r="Q61" s="80"/>
      <c r="R61" s="2"/>
    </row>
    <row r="62" spans="1:86" x14ac:dyDescent="0.25">
      <c r="A62" s="1"/>
      <c r="B62" s="6" t="s">
        <v>30</v>
      </c>
      <c r="C62" s="6"/>
      <c r="D62" s="1"/>
      <c r="E62" s="6"/>
      <c r="F62" s="6"/>
      <c r="G62" s="28" t="s">
        <v>31</v>
      </c>
      <c r="H62" s="28" t="s">
        <v>28</v>
      </c>
      <c r="I62" s="15"/>
      <c r="J62" s="1"/>
      <c r="K62" s="54"/>
      <c r="L62" s="59">
        <f>E68</f>
        <v>43.379401605957206</v>
      </c>
      <c r="M62" s="79">
        <v>-0.01</v>
      </c>
      <c r="N62" s="79">
        <v>0.01</v>
      </c>
      <c r="O62" s="79">
        <v>0.02</v>
      </c>
      <c r="P62" s="79">
        <v>0.03</v>
      </c>
      <c r="Q62" s="79">
        <v>0.04</v>
      </c>
    </row>
    <row r="63" spans="1:86" x14ac:dyDescent="0.25">
      <c r="A63" s="1"/>
      <c r="B63" s="29" t="s">
        <v>32</v>
      </c>
      <c r="C63" s="1"/>
      <c r="D63" s="23">
        <v>279.7</v>
      </c>
      <c r="E63" s="1"/>
      <c r="F63" s="1"/>
      <c r="G63" s="26">
        <f>C61+SUM(I58:R58)</f>
        <v>1457.2626721422264</v>
      </c>
      <c r="H63" s="18">
        <f>F60</f>
        <v>1541.2122195746099</v>
      </c>
      <c r="I63" s="15"/>
      <c r="K63" s="54"/>
      <c r="L63" s="56">
        <f>L64-1%</f>
        <v>7.9795880824607854E-2</v>
      </c>
      <c r="M63" s="60">
        <f t="dataTable" ref="M63:Q67" dt2D="1" dtr="1" r1="E6" r2="E5"/>
        <v>46.3638580538071</v>
      </c>
      <c r="N63" s="60">
        <v>53.515683907271224</v>
      </c>
      <c r="O63" s="60">
        <v>58.768451077882169</v>
      </c>
      <c r="P63" s="60">
        <v>65.914414693935157</v>
      </c>
      <c r="Q63" s="60">
        <v>76.131154519524756</v>
      </c>
    </row>
    <row r="64" spans="1:86" x14ac:dyDescent="0.25">
      <c r="A64" s="1"/>
      <c r="B64" s="30" t="s">
        <v>33</v>
      </c>
      <c r="C64" s="3"/>
      <c r="D64" s="39">
        <f>454.6-182.4</f>
        <v>272.20000000000005</v>
      </c>
      <c r="E64" s="3"/>
      <c r="F64" s="3"/>
      <c r="G64" s="3"/>
      <c r="H64" s="3"/>
      <c r="I64" s="15"/>
      <c r="K64" s="55"/>
      <c r="L64" s="56">
        <f>L65-1%</f>
        <v>8.9795880824607849E-2</v>
      </c>
      <c r="M64" s="60">
        <v>41.0939711931441</v>
      </c>
      <c r="N64" s="61">
        <v>46.315150618867143</v>
      </c>
      <c r="O64" s="61">
        <v>49.9989130577179</v>
      </c>
      <c r="P64" s="61">
        <v>54.826935516458605</v>
      </c>
      <c r="Q64" s="60">
        <v>61.391399218647386</v>
      </c>
      <c r="R64" s="48"/>
    </row>
    <row r="65" spans="1:17" x14ac:dyDescent="0.25">
      <c r="A65" s="1"/>
      <c r="B65" s="6" t="s">
        <v>34</v>
      </c>
      <c r="C65" s="6"/>
      <c r="D65" s="6"/>
      <c r="E65" s="6"/>
      <c r="F65" s="6"/>
      <c r="G65" s="31">
        <f>G63+D63-D64</f>
        <v>1464.7626721422264</v>
      </c>
      <c r="H65" s="32">
        <f>H63+D63-D64</f>
        <v>1548.7122195746099</v>
      </c>
      <c r="I65" s="15"/>
      <c r="K65" s="54" t="s">
        <v>1</v>
      </c>
      <c r="L65" s="56">
        <v>9.9795880824607844E-2</v>
      </c>
      <c r="M65" s="60">
        <v>36.813795525130402</v>
      </c>
      <c r="N65" s="61">
        <v>40.715852616556333</v>
      </c>
      <c r="O65" s="62">
        <v>43.379401605957206</v>
      </c>
      <c r="P65" s="61">
        <v>46.769277564657862</v>
      </c>
      <c r="Q65" s="60">
        <v>51.210190184220423</v>
      </c>
    </row>
    <row r="66" spans="1:17" x14ac:dyDescent="0.25">
      <c r="A66" s="1"/>
      <c r="B66" s="3" t="s">
        <v>35</v>
      </c>
      <c r="C66" s="3"/>
      <c r="D66" s="37">
        <f>34733938/1000000</f>
        <v>34.733938000000002</v>
      </c>
      <c r="E66" s="3"/>
      <c r="F66" s="3"/>
      <c r="G66" s="3"/>
      <c r="H66" s="33"/>
      <c r="I66" s="15"/>
      <c r="K66" s="54"/>
      <c r="L66" s="57">
        <f>L65+1%</f>
        <v>0.10979588082460784</v>
      </c>
      <c r="M66" s="60">
        <v>33.276294519081802</v>
      </c>
      <c r="N66" s="61">
        <v>36.250372043461297</v>
      </c>
      <c r="O66" s="61">
        <v>38.225011575400828</v>
      </c>
      <c r="P66" s="61">
        <v>40.678636848758146</v>
      </c>
      <c r="Q66" s="60">
        <v>43.800342043444317</v>
      </c>
    </row>
    <row r="67" spans="1:17" x14ac:dyDescent="0.25">
      <c r="A67" s="1"/>
      <c r="B67" s="17" t="s">
        <v>36</v>
      </c>
      <c r="C67" s="17"/>
      <c r="D67" s="63">
        <f>D66*$J$5</f>
        <v>1246.9483742</v>
      </c>
      <c r="E67" s="17"/>
      <c r="F67" s="17"/>
      <c r="G67" s="17"/>
      <c r="H67" s="34"/>
      <c r="I67" s="1"/>
      <c r="K67" s="54"/>
      <c r="L67" s="57">
        <f>L66+1%</f>
        <v>0.11979588082460783</v>
      </c>
      <c r="M67" s="60">
        <v>30.309145887111889</v>
      </c>
      <c r="N67" s="60">
        <v>32.614118885122352</v>
      </c>
      <c r="O67" s="60">
        <v>34.108943931897628</v>
      </c>
      <c r="P67" s="60">
        <v>35.929672494775239</v>
      </c>
      <c r="Q67" s="60">
        <v>38.191537761228403</v>
      </c>
    </row>
    <row r="68" spans="1:17" x14ac:dyDescent="0.25">
      <c r="A68" s="1"/>
      <c r="B68" s="6" t="s">
        <v>37</v>
      </c>
      <c r="D68" s="6" t="s">
        <v>38</v>
      </c>
      <c r="E68" s="35">
        <f>(G68+H68)/2</f>
        <v>43.379401605957206</v>
      </c>
      <c r="F68" s="6"/>
      <c r="G68" s="35">
        <f>G65/D66</f>
        <v>42.170935876669851</v>
      </c>
      <c r="H68" s="36">
        <f>H65/D66</f>
        <v>44.58786733524456</v>
      </c>
      <c r="I68" s="15"/>
    </row>
    <row r="69" spans="1:17" x14ac:dyDescent="0.25">
      <c r="B69" s="41"/>
      <c r="C69" s="41"/>
      <c r="D69" s="41"/>
      <c r="E69" s="41"/>
      <c r="F69" s="41"/>
      <c r="G69" s="41"/>
      <c r="H69" s="41"/>
      <c r="I69" s="22"/>
    </row>
  </sheetData>
  <sortState xmlns:xlrd2="http://schemas.microsoft.com/office/spreadsheetml/2017/richdata2" columnSort="1" ref="C10:H58">
    <sortCondition ref="C10:H10"/>
  </sortState>
  <mergeCells count="1">
    <mergeCell ref="L61:Q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50DA-B624-4752-9D51-D896479F0D02}">
  <dimension ref="A1:L15"/>
  <sheetViews>
    <sheetView workbookViewId="0">
      <selection activeCell="K8" sqref="K8"/>
    </sheetView>
  </sheetViews>
  <sheetFormatPr defaultRowHeight="15" x14ac:dyDescent="0.25"/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25" x14ac:dyDescent="0.35">
      <c r="A2" s="2"/>
      <c r="B2" s="40" t="s">
        <v>1</v>
      </c>
      <c r="C2" s="2"/>
      <c r="D2" s="2"/>
      <c r="E2" s="2"/>
      <c r="F2" s="2"/>
      <c r="G2" s="2"/>
      <c r="H2" s="2"/>
      <c r="I2" s="2"/>
      <c r="J2" s="2"/>
      <c r="K2" s="2"/>
      <c r="L2" s="41"/>
    </row>
    <row r="3" spans="1:12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2"/>
    </row>
    <row r="4" spans="1:12" x14ac:dyDescent="0.25">
      <c r="A4" s="43" t="s">
        <v>40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 t="s">
        <v>41</v>
      </c>
      <c r="C6" s="2"/>
      <c r="D6" s="44">
        <v>0.27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 t="s">
        <v>42</v>
      </c>
      <c r="C7" s="2"/>
      <c r="D7" s="44">
        <v>3.6999999999999998E-2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 t="s">
        <v>43</v>
      </c>
      <c r="C8" s="2"/>
      <c r="D8" s="45">
        <v>1.33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 t="s">
        <v>44</v>
      </c>
      <c r="C9" s="2"/>
      <c r="D9" s="44">
        <v>0.06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34</v>
      </c>
      <c r="B12" s="2"/>
      <c r="C12" s="23">
        <f>SL!D67</f>
        <v>1246.9483742</v>
      </c>
      <c r="D12" s="2"/>
      <c r="E12" s="2" t="s">
        <v>33</v>
      </c>
      <c r="F12" s="2"/>
      <c r="G12" s="23">
        <f>SL!D64</f>
        <v>272.20000000000005</v>
      </c>
      <c r="H12" s="2"/>
      <c r="I12" s="2" t="s">
        <v>45</v>
      </c>
      <c r="J12" s="2"/>
      <c r="K12" s="23">
        <f>G12+C12</f>
        <v>1519.1483742</v>
      </c>
      <c r="L12" s="2"/>
    </row>
    <row r="13" spans="1:12" x14ac:dyDescent="0.25">
      <c r="A13" s="2" t="s">
        <v>46</v>
      </c>
      <c r="B13" s="2"/>
      <c r="C13" s="46">
        <f>C12/K12</f>
        <v>0.82082066200851278</v>
      </c>
      <c r="D13" s="2"/>
      <c r="E13" s="2" t="s">
        <v>47</v>
      </c>
      <c r="F13" s="2"/>
      <c r="G13" s="47">
        <f>G12/K12</f>
        <v>0.17917933799148716</v>
      </c>
      <c r="H13" s="2"/>
      <c r="I13" s="2"/>
      <c r="J13" s="2"/>
      <c r="K13" s="2"/>
      <c r="L13" s="2"/>
    </row>
    <row r="14" spans="1:12" x14ac:dyDescent="0.25">
      <c r="A14" s="2" t="s">
        <v>48</v>
      </c>
      <c r="B14" s="2"/>
      <c r="C14" s="48">
        <f>D7+D8*(D9)</f>
        <v>0.11679999999999999</v>
      </c>
      <c r="D14" s="2"/>
      <c r="E14" s="2" t="s">
        <v>49</v>
      </c>
      <c r="F14" s="2"/>
      <c r="G14" s="47">
        <v>0.03</v>
      </c>
      <c r="H14" s="2"/>
      <c r="I14" s="49" t="s">
        <v>1</v>
      </c>
      <c r="J14" s="50"/>
      <c r="K14" s="51">
        <f>C13*C14+G14*G13*(1-D6)</f>
        <v>9.9795880824607844E-2</v>
      </c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Alessandro Ognibene</cp:lastModifiedBy>
  <dcterms:created xsi:type="dcterms:W3CDTF">2023-05-02T11:48:48Z</dcterms:created>
  <dcterms:modified xsi:type="dcterms:W3CDTF">2023-09-07T21:03:24Z</dcterms:modified>
</cp:coreProperties>
</file>