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06C80315-5E8E-48A7-BC2E-ED2C03B3D4B3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LEVI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1" l="1"/>
  <c r="L60" i="1"/>
  <c r="L64" i="1"/>
  <c r="L63" i="1"/>
  <c r="P12" i="1"/>
  <c r="Q12" i="1"/>
  <c r="R12" i="1" s="1"/>
  <c r="O12" i="1"/>
  <c r="D61" i="1"/>
  <c r="G12" i="2" s="1"/>
  <c r="I43" i="1"/>
  <c r="J43" i="1"/>
  <c r="I40" i="1"/>
  <c r="J40" i="1"/>
  <c r="M17" i="1"/>
  <c r="N17" i="1"/>
  <c r="L17" i="1"/>
  <c r="I11" i="1"/>
  <c r="J11" i="1"/>
  <c r="K11" i="1" s="1"/>
  <c r="L11" i="1" s="1"/>
  <c r="M11" i="1" s="1"/>
  <c r="N11" i="1" s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D50" i="1"/>
  <c r="E50" i="1"/>
  <c r="C50" i="1"/>
  <c r="C49" i="1"/>
  <c r="G36" i="1"/>
  <c r="H36" i="1"/>
  <c r="F36" i="1"/>
  <c r="D36" i="1"/>
  <c r="E36" i="1"/>
  <c r="C36" i="1"/>
  <c r="D31" i="1"/>
  <c r="E31" i="1"/>
  <c r="F31" i="1"/>
  <c r="G31" i="1"/>
  <c r="H31" i="1"/>
  <c r="C31" i="1"/>
  <c r="G28" i="1"/>
  <c r="H28" i="1"/>
  <c r="F28" i="1"/>
  <c r="D28" i="1"/>
  <c r="E28" i="1"/>
  <c r="C28" i="1"/>
  <c r="C27" i="1"/>
  <c r="C25" i="1"/>
  <c r="G22" i="1"/>
  <c r="H22" i="1"/>
  <c r="F22" i="1"/>
  <c r="G19" i="1"/>
  <c r="H19" i="1"/>
  <c r="F19" i="1"/>
  <c r="D19" i="1"/>
  <c r="E19" i="1"/>
  <c r="E25" i="1" s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M20" i="1"/>
  <c r="N47" i="1"/>
  <c r="O47" i="1" s="1"/>
  <c r="P47" i="1" s="1"/>
  <c r="Q47" i="1" s="1"/>
  <c r="R47" i="1" s="1"/>
  <c r="D6" i="2"/>
  <c r="D64" i="1"/>
  <c r="C12" i="2" s="1"/>
  <c r="G25" i="1"/>
  <c r="D25" i="1"/>
  <c r="G16" i="1"/>
  <c r="F16" i="1"/>
  <c r="D16" i="1"/>
  <c r="C16" i="1"/>
  <c r="L61" i="1"/>
  <c r="C41" i="1"/>
  <c r="C14" i="2"/>
  <c r="J9" i="1"/>
  <c r="K9" i="1" s="1"/>
  <c r="L9" i="1" s="1"/>
  <c r="M9" i="1" s="1"/>
  <c r="N9" i="1" s="1"/>
  <c r="O9" i="1" s="1"/>
  <c r="P9" i="1" s="1"/>
  <c r="Q9" i="1" s="1"/>
  <c r="R9" i="1" s="1"/>
  <c r="O11" i="1" l="1"/>
  <c r="P11" i="1" s="1"/>
  <c r="Q11" i="1" s="1"/>
  <c r="M40" i="1"/>
  <c r="P43" i="1"/>
  <c r="L43" i="1"/>
  <c r="O40" i="1"/>
  <c r="K40" i="1"/>
  <c r="N43" i="1"/>
  <c r="K43" i="1"/>
  <c r="P40" i="1"/>
  <c r="N40" i="1"/>
  <c r="L40" i="1"/>
  <c r="M43" i="1"/>
  <c r="H25" i="1"/>
  <c r="F25" i="1"/>
  <c r="D27" i="1"/>
  <c r="G27" i="1"/>
  <c r="G51" i="1" s="1"/>
  <c r="F27" i="1"/>
  <c r="F51" i="1" s="1"/>
  <c r="E20" i="1"/>
  <c r="I22" i="1"/>
  <c r="E23" i="1"/>
  <c r="F23" i="1"/>
  <c r="G23" i="1"/>
  <c r="C51" i="1"/>
  <c r="D51" i="1"/>
  <c r="C23" i="1"/>
  <c r="D23" i="1"/>
  <c r="H23" i="1"/>
  <c r="E16" i="1"/>
  <c r="E27" i="1" s="1"/>
  <c r="E51" i="1" s="1"/>
  <c r="H16" i="1"/>
  <c r="H27" i="1" s="1"/>
  <c r="H51" i="1" s="1"/>
  <c r="E41" i="1"/>
  <c r="D47" i="1"/>
  <c r="F12" i="1"/>
  <c r="F20" i="1"/>
  <c r="C29" i="1"/>
  <c r="D29" i="1"/>
  <c r="H29" i="1"/>
  <c r="E29" i="1"/>
  <c r="F29" i="1"/>
  <c r="G29" i="1"/>
  <c r="J28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I14" i="1" s="1"/>
  <c r="D17" i="1"/>
  <c r="F17" i="1"/>
  <c r="C17" i="1"/>
  <c r="H20" i="1"/>
  <c r="H41" i="1"/>
  <c r="C44" i="1"/>
  <c r="H44" i="1"/>
  <c r="H47" i="1"/>
  <c r="E12" i="1"/>
  <c r="E44" i="1"/>
  <c r="K12" i="2"/>
  <c r="G13" i="2" s="1"/>
  <c r="G33" i="1"/>
  <c r="G49" i="1" s="1"/>
  <c r="G17" i="1"/>
  <c r="Q43" i="1" l="1"/>
  <c r="Q40" i="1"/>
  <c r="O43" i="1"/>
  <c r="J22" i="1"/>
  <c r="E17" i="1"/>
  <c r="E33" i="1"/>
  <c r="H17" i="1"/>
  <c r="C13" i="2"/>
  <c r="K14" i="2" s="1"/>
  <c r="E5" i="1" s="1"/>
  <c r="F33" i="1"/>
  <c r="F49" i="1" s="1"/>
  <c r="D33" i="1"/>
  <c r="D49" i="1" s="1"/>
  <c r="H33" i="1"/>
  <c r="G37" i="1"/>
  <c r="G34" i="1"/>
  <c r="G54" i="1"/>
  <c r="K22" i="1" l="1"/>
  <c r="K28" i="1"/>
  <c r="H49" i="1"/>
  <c r="H54" i="1" s="1"/>
  <c r="E49" i="1"/>
  <c r="E54" i="1" s="1"/>
  <c r="E34" i="1"/>
  <c r="E37" i="1"/>
  <c r="H34" i="1"/>
  <c r="F37" i="1"/>
  <c r="F54" i="1"/>
  <c r="D54" i="1"/>
  <c r="C33" i="1"/>
  <c r="C54" i="1" s="1"/>
  <c r="D34" i="1"/>
  <c r="D37" i="1"/>
  <c r="F34" i="1"/>
  <c r="H37" i="1"/>
  <c r="L28" i="1" l="1"/>
  <c r="L22" i="1"/>
  <c r="C37" i="1"/>
  <c r="C34" i="1"/>
  <c r="I46" i="1"/>
  <c r="M28" i="1" l="1"/>
  <c r="M22" i="1"/>
  <c r="I19" i="1"/>
  <c r="I25" i="1" s="1"/>
  <c r="I27" i="1" s="1"/>
  <c r="I31" i="1" s="1"/>
  <c r="N22" i="1" l="1"/>
  <c r="N28" i="1"/>
  <c r="I33" i="1"/>
  <c r="O28" i="1" l="1"/>
  <c r="O22" i="1"/>
  <c r="I34" i="1"/>
  <c r="I36" i="1"/>
  <c r="I51" i="1" s="1"/>
  <c r="P28" i="1" l="1"/>
  <c r="P22" i="1"/>
  <c r="I49" i="1"/>
  <c r="I54" i="1" s="1"/>
  <c r="I55" i="1" s="1"/>
  <c r="J46" i="1"/>
  <c r="J19" i="1"/>
  <c r="J25" i="1" s="1"/>
  <c r="J16" i="1"/>
  <c r="J14" i="1" s="1"/>
  <c r="R11" i="1" l="1"/>
  <c r="Q28" i="1"/>
  <c r="Q22" i="1"/>
  <c r="J27" i="1"/>
  <c r="J31" i="1" s="1"/>
  <c r="R40" i="1" l="1"/>
  <c r="R22" i="1"/>
  <c r="R28" i="1"/>
  <c r="J33" i="1"/>
  <c r="K16" i="1"/>
  <c r="K14" i="1" s="1"/>
  <c r="K46" i="1"/>
  <c r="K19" i="1"/>
  <c r="K25" i="1" s="1"/>
  <c r="J34" i="1" l="1"/>
  <c r="K27" i="1"/>
  <c r="K31" i="1" s="1"/>
  <c r="J36" i="1"/>
  <c r="J51" i="1" s="1"/>
  <c r="L16" i="1"/>
  <c r="L14" i="1" s="1"/>
  <c r="L19" i="1"/>
  <c r="L25" i="1" s="1"/>
  <c r="L46" i="1"/>
  <c r="L27" i="1" l="1"/>
  <c r="L31" i="1" s="1"/>
  <c r="J49" i="1"/>
  <c r="J54" i="1" s="1"/>
  <c r="J55" i="1" s="1"/>
  <c r="K33" i="1"/>
  <c r="L33" i="1" l="1"/>
  <c r="L36" i="1" s="1"/>
  <c r="L49" i="1" s="1"/>
  <c r="L54" i="1" s="1"/>
  <c r="L55" i="1" s="1"/>
  <c r="K36" i="1"/>
  <c r="K51" i="1" s="1"/>
  <c r="K34" i="1"/>
  <c r="M19" i="1"/>
  <c r="M25" i="1" s="1"/>
  <c r="M46" i="1"/>
  <c r="M16" i="1"/>
  <c r="M14" i="1" s="1"/>
  <c r="L34" i="1" l="1"/>
  <c r="K49" i="1"/>
  <c r="K54" i="1" s="1"/>
  <c r="K55" i="1" s="1"/>
  <c r="M27" i="1"/>
  <c r="M31" i="1" s="1"/>
  <c r="L51" i="1"/>
  <c r="M33" i="1" l="1"/>
  <c r="N19" i="1"/>
  <c r="N25" i="1" s="1"/>
  <c r="N46" i="1"/>
  <c r="N16" i="1"/>
  <c r="N14" i="1" s="1"/>
  <c r="M34" i="1" l="1"/>
  <c r="N27" i="1"/>
  <c r="N31" i="1" s="1"/>
  <c r="M36" i="1"/>
  <c r="M49" i="1" s="1"/>
  <c r="M54" i="1" l="1"/>
  <c r="M55" i="1" s="1"/>
  <c r="M51" i="1"/>
  <c r="N33" i="1"/>
  <c r="N36" i="1" l="1"/>
  <c r="N51" i="1" s="1"/>
  <c r="N34" i="1"/>
  <c r="N49" i="1" l="1"/>
  <c r="N54" i="1" s="1"/>
  <c r="N55" i="1" s="1"/>
  <c r="O46" i="1"/>
  <c r="O19" i="1"/>
  <c r="O25" i="1" s="1"/>
  <c r="O16" i="1"/>
  <c r="O14" i="1" s="1"/>
  <c r="O27" i="1" l="1"/>
  <c r="O31" i="1" s="1"/>
  <c r="P19" i="1"/>
  <c r="P25" i="1" s="1"/>
  <c r="P46" i="1"/>
  <c r="P16" i="1"/>
  <c r="P14" i="1" s="1"/>
  <c r="P27" i="1" l="1"/>
  <c r="P31" i="1" s="1"/>
  <c r="O33" i="1"/>
  <c r="O36" i="1" s="1"/>
  <c r="O51" i="1" s="1"/>
  <c r="O34" i="1" l="1"/>
  <c r="O49" i="1"/>
  <c r="O54" i="1" s="1"/>
  <c r="O55" i="1" s="1"/>
  <c r="P33" i="1"/>
  <c r="P34" i="1" l="1"/>
  <c r="P36" i="1"/>
  <c r="P51" i="1" s="1"/>
  <c r="Q16" i="1"/>
  <c r="Q14" i="1" s="1"/>
  <c r="Q19" i="1"/>
  <c r="Q25" i="1" s="1"/>
  <c r="Q46" i="1"/>
  <c r="P49" i="1" l="1"/>
  <c r="Q27" i="1"/>
  <c r="Q31" i="1" s="1"/>
  <c r="P54" i="1"/>
  <c r="P55" i="1" s="1"/>
  <c r="R19" i="1"/>
  <c r="R25" i="1" s="1"/>
  <c r="Q33" i="1" l="1"/>
  <c r="R43" i="1"/>
  <c r="R16" i="1"/>
  <c r="R14" i="1" s="1"/>
  <c r="R46" i="1"/>
  <c r="R27" i="1" l="1"/>
  <c r="R31" i="1" s="1"/>
  <c r="Q34" i="1"/>
  <c r="Q36" i="1"/>
  <c r="Q51" i="1" l="1"/>
  <c r="Q49" i="1"/>
  <c r="Q54" i="1" s="1"/>
  <c r="Q55" i="1" s="1"/>
  <c r="R33" i="1"/>
  <c r="R36" i="1" s="1"/>
  <c r="R51" i="1" s="1"/>
  <c r="R34" i="1" l="1"/>
  <c r="R49" i="1"/>
  <c r="R54" i="1" s="1"/>
  <c r="C57" i="1" s="1"/>
  <c r="C58" i="1" s="1"/>
  <c r="S51" i="1"/>
  <c r="R55" i="1" l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G60" i="1"/>
  <c r="G62" i="1" s="1"/>
  <c r="G65" i="1" s="1"/>
  <c r="F57" i="1" l="1"/>
  <c r="H60" i="1" s="1"/>
  <c r="H62" i="1" s="1"/>
  <c r="H65" i="1" s="1"/>
  <c r="E65" i="1" s="1"/>
  <c r="L59" i="1" s="1"/>
  <c r="J6" i="1" l="1"/>
  <c r="N5" i="1" s="1"/>
</calcChain>
</file>

<file path=xl/sharedStrings.xml><?xml version="1.0" encoding="utf-8"?>
<sst xmlns="http://schemas.openxmlformats.org/spreadsheetml/2006/main" count="286" uniqueCount="198">
  <si>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</si>
  <si>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</si>
  <si>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</si>
  <si>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</si>
  <si>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</si>
  <si>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</si>
  <si>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</si>
  <si>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</si>
  <si>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</si>
  <si>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</si>
  <si>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</si>
  <si>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</si>
  <si>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</si>
  <si>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</si>
  <si>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</si>
  <si>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</si>
  <si>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</si>
  <si>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</si>
  <si>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</si>
  <si>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</si>
  <si>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</si>
  <si>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</si>
  <si>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</si>
  <si>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</si>
  <si>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</si>
  <si>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</si>
  <si>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</si>
  <si>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</si>
  <si>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</si>
  <si>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</si>
  <si>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</si>
  <si>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</si>
  <si>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</si>
  <si>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</si>
  <si>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</si>
  <si>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</si>
  <si>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</si>
  <si>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</si>
  <si>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</si>
  <si>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</si>
  <si>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</si>
  <si>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</si>
  <si>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</si>
  <si>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</si>
  <si>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</si>
  <si>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</si>
  <si>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</si>
  <si>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</si>
  <si>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</si>
  <si>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</si>
  <si>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</si>
  <si>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Other, net</t>
  </si>
  <si>
    <t>Other</t>
  </si>
  <si>
    <t>Terminal Growth Rate</t>
  </si>
  <si>
    <t>Year Ended</t>
  </si>
  <si>
    <t>Interest expense</t>
  </si>
  <si>
    <t>Income tax expense</t>
  </si>
  <si>
    <t>Cash Flows from Operating Activities:</t>
  </si>
  <si>
    <t>Stock-based compensation</t>
  </si>
  <si>
    <t>Cash Flows from Investing Activities:</t>
  </si>
  <si>
    <t>Cash Flows from Financing Activities:</t>
  </si>
  <si>
    <t>Repayments of long-term debt</t>
  </si>
  <si>
    <t>Effect of exchange rate changes on cash and cash equivalents</t>
  </si>
  <si>
    <t>CONSOLIDATED STATEMENTS OF OPERATIONS</t>
  </si>
  <si>
    <t/>
  </si>
  <si>
    <t>November 27,</t>
  </si>
  <si>
    <t>November 28,</t>
  </si>
  <si>
    <t>November 29,</t>
  </si>
  <si>
    <t>(Dollars in millions, except per share amounts)</t>
  </si>
  <si>
    <t>Net revenues</t>
  </si>
  <si>
    <t>Cost of goods sold</t>
  </si>
  <si>
    <t>Gross profit</t>
  </si>
  <si>
    <t>Selling, general and administrative expenses</t>
  </si>
  <si>
    <t>Restructuring charges, net</t>
  </si>
  <si>
    <t>Operating income (loss)</t>
  </si>
  <si>
    <t>Loss on early extinguishment of debt</t>
  </si>
  <si>
    <t>Other income (expense), net</t>
  </si>
  <si>
    <t>Income (loss) before income taxes</t>
  </si>
  <si>
    <t>Income tax expense (benefit)</t>
  </si>
  <si>
    <t>Net income (loss)</t>
  </si>
  <si>
    <t>Earnings (loss) per common share attributable to common</t>
  </si>
  <si>
    <t>stockholders:</t>
  </si>
  <si>
    <t>Basic</t>
  </si>
  <si>
    <t>Diluted</t>
  </si>
  <si>
    <t>Weighted-average common shares outstanding:</t>
  </si>
  <si>
    <t>CONSOLIDATED STATEMENTS OF CASH FLOWS</t>
  </si>
  <si>
    <t>(Dollars in millions)</t>
  </si>
  <si>
    <t>Adjustments to reconcile net income (loss) to net cash</t>
  </si>
  <si>
    <t>provided by operating activities:</t>
  </si>
  <si>
    <t>Depreciation and amortization</t>
  </si>
  <si>
    <t>Property, plant, equipment, right-of-use asset, goodwill</t>
  </si>
  <si>
    <t>impairments, and early lease terminations</t>
  </si>
  <si>
    <t>Benefit from provision for deferred income taxes</t>
  </si>
  <si>
    <t>Net change in operating assets and liabilities</t>
  </si>
  <si>
    <t>Net cash provided by operating activities</t>
  </si>
  <si>
    <t>Purchases of property, plant and equipment</t>
  </si>
  <si>
    <t>Payments for business acquisition</t>
  </si>
  <si>
    <t>Proceeds (payments) on settlement of forward foreign exchange</t>
  </si>
  <si>
    <t>contracts not designated for hedge accounting</t>
  </si>
  <si>
    <t>Payments to acquire short-term investments</t>
  </si>
  <si>
    <t>Proceeds from sale, maturity and collection of short-term</t>
  </si>
  <si>
    <t>investments</t>
  </si>
  <si>
    <t>Other investing, net</t>
  </si>
  <si>
    <t>Net cash used for investing activities</t>
  </si>
  <si>
    <t>Proceeds from issuance of long-term debt, net of issuance</t>
  </si>
  <si>
    <t>costs</t>
  </si>
  <si>
    <t>Repayments of long-term debt including extinguishment costs</t>
  </si>
  <si>
    <t>Proceeds from senior revolving credit facility</t>
  </si>
  <si>
    <t>Repayments of senior revolving credit facility</t>
  </si>
  <si>
    <t>Proceeds (repayments) of short-term credit facilities and</t>
  </si>
  <si>
    <t>other short-term borrowings, net</t>
  </si>
  <si>
    <t>Repurchase of common stock</t>
  </si>
  <si>
    <t>Tax withholdings on equity awards</t>
  </si>
  <si>
    <t>Dividend to stockholders</t>
  </si>
  <si>
    <t>Other financing, net</t>
  </si>
  <si>
    <t>Net cash (used for) provided by financing activities</t>
  </si>
  <si>
    <t>and restricted cash</t>
  </si>
  <si>
    <t>Net (decrease) increase in cash and cash equivalents and</t>
  </si>
  <si>
    <t>restricted cash</t>
  </si>
  <si>
    <t>Beginning cash and cash equivalents, and restricted cash</t>
  </si>
  <si>
    <t>Ending cash and cash equivalents, and restricted cash</t>
  </si>
  <si>
    <t>Less: Ending restricted cash</t>
  </si>
  <si>
    <t>Ending cash and cash equivalents</t>
  </si>
  <si>
    <t>Noncash Investing Activity:</t>
  </si>
  <si>
    <t>Property, plant and equipment acquired and not yet paid at end</t>
  </si>
  <si>
    <t>of period</t>
  </si>
  <si>
    <t>Supplemental disclosure of cash flow information:</t>
  </si>
  <si>
    <t>Cash paid for interest during the period</t>
  </si>
  <si>
    <t>Cash paid for income taxes during the period, net of refunds</t>
  </si>
  <si>
    <t>CONSOLIDATED STATEMENTS OF INCOME</t>
  </si>
  <si>
    <t>November 24,</t>
  </si>
  <si>
    <t>November 25,</t>
  </si>
  <si>
    <t>November 26,</t>
  </si>
  <si>
    <t>(Dollars in thousands, except per share amounts)</t>
  </si>
  <si>
    <t>Underwriter commission paid on behalf of selling</t>
  </si>
  <si>
    <t>stockholders (Note 1)</t>
  </si>
  <si>
    <t>Income before income taxes</t>
  </si>
  <si>
    <t>Net income attributable to noncontrolling</t>
  </si>
  <si>
    <t>interest</t>
  </si>
  <si>
    <t>Net income attributable to Levi Strauss &amp; Co.</t>
  </si>
  <si>
    <t>Earnings per common share attributable to common</t>
  </si>
  <si>
    <t>(Dollars in thousands)</t>
  </si>
  <si>
    <t>Adjustments to reconcile net income to net cash</t>
  </si>
  <si>
    <t>Unrealized foreign exchange losses (gains)</t>
  </si>
  <si>
    <t>Realized (gain) loss on settlement of forward</t>
  </si>
  <si>
    <t>foreign exchange contracts not designated for hedge</t>
  </si>
  <si>
    <t>accounting</t>
  </si>
  <si>
    <t>Employee benefit plans' amortization from</t>
  </si>
  <si>
    <t>accumulated other comprehensive loss and settlement</t>
  </si>
  <si>
    <t>losses</t>
  </si>
  <si>
    <t>Loss on extinguishment of debt, net of write-off of</t>
  </si>
  <si>
    <t>unamortized debt issuance costs</t>
  </si>
  <si>
    <t>(Benefit from) provision for deferred income taxes</t>
  </si>
  <si>
    <t>Change in operating assets and liabilities:</t>
  </si>
  <si>
    <t>Trade receivables</t>
  </si>
  <si>
    <t>Inventories</t>
  </si>
  <si>
    <t>Other current assets</t>
  </si>
  <si>
    <t>Other non-current assets</t>
  </si>
  <si>
    <t>Accounts payable and other accrued liabilities</t>
  </si>
  <si>
    <t>Restructuring liabilities</t>
  </si>
  <si>
    <t>Income tax liabilities</t>
  </si>
  <si>
    <t>Accrued salaries, wages and employee benefits and</t>
  </si>
  <si>
    <t>long-term employee related benefits</t>
  </si>
  <si>
    <t>Other long-term liabilities</t>
  </si>
  <si>
    <t>Proceeds (payments) on settlement of forward</t>
  </si>
  <si>
    <t>Proceeds from sale, maturity and collection of</t>
  </si>
  <si>
    <t>short-term investments</t>
  </si>
  <si>
    <t>Proceeds from issuance of long-term debt</t>
  </si>
  <si>
    <t>Proceeds from short-term credit facilities</t>
  </si>
  <si>
    <t>Repayments of short-term credit facilities</t>
  </si>
  <si>
    <t>Other short-term borrowings, net</t>
  </si>
  <si>
    <t>Payment of debt extinguishment costs</t>
  </si>
  <si>
    <t>Payment of debt issuance costs</t>
  </si>
  <si>
    <t>Proceeds from issuance of Class A common stock</t>
  </si>
  <si>
    <t>Payments for underwriter commission and other</t>
  </si>
  <si>
    <t>offering costs</t>
  </si>
  <si>
    <t>Proceeds from purchases of stock under employee</t>
  </si>
  <si>
    <t>stock purchase plan</t>
  </si>
  <si>
    <t>Repurchase of common stock, including shares</t>
  </si>
  <si>
    <t>surrendered for tax withholdings on equity</t>
  </si>
  <si>
    <t>exercises</t>
  </si>
  <si>
    <t>Net cash provided by (used for) financing</t>
  </si>
  <si>
    <t>activities</t>
  </si>
  <si>
    <t>Effect of exchange rate changes on cash and cash</t>
  </si>
  <si>
    <t>equivalents and restricted cash</t>
  </si>
  <si>
    <t>Net increase in cash and cash equivalents and</t>
  </si>
  <si>
    <t>Beginning cash and cash equivalents, and restricted</t>
  </si>
  <si>
    <t>cash</t>
  </si>
  <si>
    <t>Ending cash and cash equivalents, and restricted</t>
  </si>
  <si>
    <t>Property, plant and equipment acquired and not yet</t>
  </si>
  <si>
    <t>paid at end of period</t>
  </si>
  <si>
    <t>Property, plant and equipment additions due to</t>
  </si>
  <si>
    <t>build-to-suit lease transactions</t>
  </si>
  <si>
    <t>Cash paid for income taxes during the period, net</t>
  </si>
  <si>
    <t>of refunds</t>
  </si>
  <si>
    <t>Other income</t>
  </si>
  <si>
    <t>Levi Strauss &amp; Co DCF</t>
  </si>
  <si>
    <t>Update: 26/06/2023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</si>
</sst>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\$* #,##0.00_);_(\$* \(#,##0.00\);_(\$* \-??_);_(@_)"/>
    <numFmt numFmtId="168" formatCode="#,##0.0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$&quot;* #,##0_);_(&quot;$&quot;* \(#,##0\);_(&quot;$&quot;* &quot;-&quot;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10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165" fontId="0" fillId="0" borderId="0" xfId="0" applyNumberFormat="1"/>
    <xf numFmtId="168" fontId="3" fillId="2" borderId="0" xfId="0" applyNumberFormat="1" applyFont="1" applyFill="1"/>
    <xf numFmtId="4" fontId="3" fillId="2" borderId="0" xfId="0" applyNumberFormat="1" applyFont="1" applyFill="1"/>
    <xf numFmtId="1" fontId="3" fillId="2" borderId="0" xfId="1" applyNumberFormat="1" applyFont="1" applyFill="1"/>
    <xf numFmtId="1" fontId="3" fillId="2" borderId="3" xfId="1" applyNumberFormat="1" applyFont="1" applyFill="1" applyBorder="1"/>
    <xf numFmtId="3" fontId="3" fillId="2" borderId="0" xfId="1" applyNumberFormat="1" applyFont="1" applyFill="1"/>
    <xf numFmtId="0" fontId="3" fillId="9" borderId="0" xfId="0" applyFont="1" applyFill="1" applyAlignment="1">
      <alignment horizontal="center"/>
    </xf>
    <xf numFmtId="0" fontId="0" fillId="0" borderId="0" xfId="0" applyAlignment="1"/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169" fontId="11" fillId="0" borderId="0" xfId="0" applyNumberFormat="1" applyFont="1" applyAlignment="1">
      <alignment vertical="top"/>
    </xf>
    <xf numFmtId="39" fontId="11" fillId="0" borderId="0" xfId="0" applyNumberFormat="1" applyFont="1" applyAlignment="1">
      <alignment vertical="top"/>
    </xf>
    <xf numFmtId="170" fontId="11" fillId="0" borderId="0" xfId="0" applyNumberFormat="1" applyFont="1" applyAlignment="1">
      <alignment vertical="top"/>
    </xf>
    <xf numFmtId="37" fontId="11" fillId="0" borderId="0" xfId="0" applyNumberFormat="1" applyFont="1" applyAlignment="1">
      <alignment vertical="top"/>
    </xf>
    <xf numFmtId="171" fontId="11" fillId="0" borderId="0" xfId="0" applyNumberFormat="1" applyFont="1" applyAlignment="1">
      <alignment vertical="top"/>
    </xf>
    <xf numFmtId="0" fontId="11" fillId="0" borderId="0" xfId="0" applyFont="1" applyAlignment="1">
      <alignment vertical="top" shrinkToFit="1"/>
    </xf>
    <xf numFmtId="1" fontId="3" fillId="2" borderId="0" xfId="0" applyNumberFormat="1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164" fontId="7" fillId="11" borderId="0" xfId="0" applyNumberFormat="1" applyFont="1" applyFill="1" applyBorder="1"/>
    <xf numFmtId="1" fontId="3" fillId="2" borderId="0" xfId="1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6"/>
  <sheetViews>
    <sheetView tabSelected="1" zoomScaleNormal="100" workbookViewId="0">
      <selection activeCell="H52" sqref="H52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196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</f>
        <v>9.6024952747005704E-2</v>
      </c>
      <c r="F5" s="2"/>
      <c r="G5" s="1"/>
      <c r="H5" s="1" t="s">
        <v>2</v>
      </c>
      <c r="I5" s="1"/>
      <c r="J5" s="7">
        <v>14.51</v>
      </c>
      <c r="K5" s="1"/>
      <c r="L5" s="1" t="s">
        <v>3</v>
      </c>
      <c r="M5" s="1"/>
      <c r="N5" s="7">
        <f>(J6/J5)-1</f>
        <v>0.32737882981181143</v>
      </c>
      <c r="O5" s="1"/>
      <c r="P5" s="1" t="s">
        <v>197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0.01</v>
      </c>
      <c r="F6" s="2"/>
      <c r="G6" s="1"/>
      <c r="H6" s="1" t="s">
        <v>5</v>
      </c>
      <c r="I6" s="1"/>
      <c r="J6" s="59">
        <f>E65</f>
        <v>19.260266820569385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0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5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3" customFormat="1" x14ac:dyDescent="0.25">
      <c r="A11" s="1"/>
      <c r="B11" s="1" t="s">
        <v>7</v>
      </c>
      <c r="C11" s="11">
        <f>'Raw IS'!H6/1000</f>
        <v>4904.03</v>
      </c>
      <c r="D11" s="11">
        <f>'Raw IS'!I6/1000</f>
        <v>5575.44</v>
      </c>
      <c r="E11" s="11">
        <f>'Raw IS'!J6/1000</f>
        <v>5763.0870000000004</v>
      </c>
      <c r="F11" s="11">
        <f>'Raw IS'!B8</f>
        <v>4452.6000000000004</v>
      </c>
      <c r="G11" s="11">
        <f>'Raw IS'!C8</f>
        <v>5763.9</v>
      </c>
      <c r="H11" s="11">
        <f>'Raw IS'!D8</f>
        <v>6168.6</v>
      </c>
      <c r="I11" s="20">
        <f t="shared" ref="I11" si="1">H11*(1+I12)</f>
        <v>6330</v>
      </c>
      <c r="J11" s="99">
        <f t="shared" ref="J11" si="2">I11*(1+J12)</f>
        <v>6700</v>
      </c>
      <c r="K11" s="99">
        <f t="shared" ref="K11" si="3">J11*(1+K12)</f>
        <v>7236.0000000000009</v>
      </c>
      <c r="L11" s="99">
        <f t="shared" ref="L11" si="4">K11*(1+L12)</f>
        <v>7742.5200000000013</v>
      </c>
      <c r="M11" s="99">
        <f t="shared" ref="M11" si="5">L11*(1+M12)</f>
        <v>8227.872000000003</v>
      </c>
      <c r="N11" s="99">
        <f t="shared" ref="N11" si="6">M11*(1+N12)</f>
        <v>8721.5443200000045</v>
      </c>
      <c r="O11" s="99">
        <f t="shared" ref="O11" si="7">N11*(1+O12)</f>
        <v>9201.2292576000036</v>
      </c>
      <c r="P11" s="99">
        <f t="shared" ref="P11" si="8">O11*(1+P12)</f>
        <v>9661.2907204800049</v>
      </c>
      <c r="Q11" s="99">
        <f t="shared" ref="Q11" si="9">P11*(1+Q12)</f>
        <v>10096.048802901605</v>
      </c>
      <c r="R11" s="99">
        <f t="shared" ref="J11:R11" si="10">Q11*(1+R12)</f>
        <v>10499.89075501767</v>
      </c>
    </row>
    <row r="12" spans="1:18" s="53" customFormat="1" x14ac:dyDescent="0.25">
      <c r="A12" s="1"/>
      <c r="B12" s="73" t="s">
        <v>8</v>
      </c>
      <c r="C12" s="74"/>
      <c r="D12" s="74">
        <f>(D11/C11)-1</f>
        <v>0.1369098476151247</v>
      </c>
      <c r="E12" s="74">
        <f>(E11/D11)-1</f>
        <v>3.3655998450346614E-2</v>
      </c>
      <c r="F12" s="74">
        <f>(F11/E11)-1</f>
        <v>-0.2273932356044599</v>
      </c>
      <c r="G12" s="74">
        <f>(G11/F11)-1</f>
        <v>0.29450208866729533</v>
      </c>
      <c r="H12" s="74">
        <f>(H11/G11)-1</f>
        <v>7.0212876698069193E-2</v>
      </c>
      <c r="I12" s="75">
        <v>2.6164769964011292E-2</v>
      </c>
      <c r="J12" s="76">
        <v>5.8451816745655583E-2</v>
      </c>
      <c r="K12" s="76">
        <v>0.08</v>
      </c>
      <c r="L12" s="76">
        <v>7.0000000000000007E-2</v>
      </c>
      <c r="M12" s="76">
        <v>6.2686567164179197E-2</v>
      </c>
      <c r="N12" s="76">
        <v>0.06</v>
      </c>
      <c r="O12" s="76">
        <f>N12-0.5%</f>
        <v>5.5E-2</v>
      </c>
      <c r="P12" s="76">
        <f t="shared" ref="P12:R12" si="11">O12-0.5%</f>
        <v>0.05</v>
      </c>
      <c r="Q12" s="76">
        <f t="shared" si="11"/>
        <v>4.5000000000000005E-2</v>
      </c>
      <c r="R12" s="76">
        <f t="shared" si="11"/>
        <v>4.0000000000000008E-2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101"/>
      <c r="K13" s="101"/>
      <c r="L13" s="101"/>
      <c r="M13" s="101"/>
      <c r="N13" s="101"/>
      <c r="O13" s="101"/>
      <c r="P13" s="101"/>
      <c r="Q13" s="101"/>
      <c r="R13" s="101"/>
    </row>
    <row r="14" spans="1:18" s="53" customFormat="1" x14ac:dyDescent="0.25">
      <c r="A14" s="1"/>
      <c r="B14" s="1" t="s">
        <v>9</v>
      </c>
      <c r="C14" s="11">
        <f>'Raw IS'!H7/1000</f>
        <v>2341.3009999999999</v>
      </c>
      <c r="D14" s="11">
        <f>'Raw IS'!I7/1000</f>
        <v>2577.4650000000001</v>
      </c>
      <c r="E14" s="11">
        <f>'Raw IS'!J7/1000</f>
        <v>2661.7139999999999</v>
      </c>
      <c r="F14" s="11">
        <f>'Raw IS'!B9</f>
        <v>2099.6999999999998</v>
      </c>
      <c r="G14" s="11">
        <f>'Raw IS'!C9</f>
        <v>2417.1999999999998</v>
      </c>
      <c r="H14" s="11">
        <f>'Raw IS'!D9</f>
        <v>2619.8000000000002</v>
      </c>
      <c r="I14" s="70">
        <f>I11-I16</f>
        <v>2708.6069999999995</v>
      </c>
      <c r="J14" s="71">
        <f t="shared" ref="J14:R14" si="12">J11-J16</f>
        <v>2838.12</v>
      </c>
      <c r="K14" s="71">
        <f t="shared" si="12"/>
        <v>3039.8436000000002</v>
      </c>
      <c r="L14" s="71">
        <f t="shared" si="12"/>
        <v>3237.1476120000007</v>
      </c>
      <c r="M14" s="71">
        <f t="shared" si="12"/>
        <v>3423.6175392000014</v>
      </c>
      <c r="N14" s="71">
        <f t="shared" si="12"/>
        <v>3611.5915029120024</v>
      </c>
      <c r="O14" s="71">
        <f t="shared" si="12"/>
        <v>3809.308912646402</v>
      </c>
      <c r="P14" s="71">
        <f t="shared" si="12"/>
        <v>3999.7743582787225</v>
      </c>
      <c r="Q14" s="71">
        <f t="shared" si="12"/>
        <v>4179.7642044012646</v>
      </c>
      <c r="R14" s="71">
        <f t="shared" si="12"/>
        <v>4346.9547725773155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00"/>
      <c r="K15" s="100"/>
      <c r="L15" s="100"/>
      <c r="M15" s="100"/>
      <c r="N15" s="100"/>
      <c r="O15" s="100"/>
      <c r="P15" s="100"/>
      <c r="Q15" s="100"/>
      <c r="R15" s="100"/>
    </row>
    <row r="16" spans="1:18" s="53" customFormat="1" x14ac:dyDescent="0.25">
      <c r="A16" s="1"/>
      <c r="B16" s="1" t="s">
        <v>10</v>
      </c>
      <c r="C16" s="11">
        <f>C11-C14</f>
        <v>2562.7289999999998</v>
      </c>
      <c r="D16" s="11">
        <f t="shared" ref="D16:H16" si="13">D11-D14</f>
        <v>2997.9749999999995</v>
      </c>
      <c r="E16" s="11">
        <f t="shared" si="13"/>
        <v>3101.3730000000005</v>
      </c>
      <c r="F16" s="11">
        <f t="shared" si="13"/>
        <v>2352.9000000000005</v>
      </c>
      <c r="G16" s="11">
        <f t="shared" si="13"/>
        <v>3346.7</v>
      </c>
      <c r="H16" s="11">
        <f t="shared" si="13"/>
        <v>3548.8</v>
      </c>
      <c r="I16" s="20">
        <f>I11*I17</f>
        <v>3621.3930000000005</v>
      </c>
      <c r="J16" s="99">
        <f t="shared" ref="J16:R16" si="14">J11*J17</f>
        <v>3861.88</v>
      </c>
      <c r="K16" s="99">
        <f>K11*K17</f>
        <v>4196.1564000000008</v>
      </c>
      <c r="L16" s="99">
        <f t="shared" si="14"/>
        <v>4505.3723880000007</v>
      </c>
      <c r="M16" s="99">
        <f t="shared" si="14"/>
        <v>4804.2544608000017</v>
      </c>
      <c r="N16" s="99">
        <f t="shared" si="14"/>
        <v>5109.9528170880021</v>
      </c>
      <c r="O16" s="99">
        <f t="shared" si="14"/>
        <v>5391.9203449536017</v>
      </c>
      <c r="P16" s="99">
        <f t="shared" si="14"/>
        <v>5661.5163622012824</v>
      </c>
      <c r="Q16" s="99">
        <f t="shared" si="14"/>
        <v>5916.2845985003405</v>
      </c>
      <c r="R16" s="99">
        <f t="shared" si="14"/>
        <v>6152.9359824403546</v>
      </c>
    </row>
    <row r="17" spans="1:18" s="53" customFormat="1" x14ac:dyDescent="0.25">
      <c r="A17" s="1"/>
      <c r="B17" s="73" t="s">
        <v>11</v>
      </c>
      <c r="C17" s="74">
        <f t="shared" ref="C17:H17" si="15">C16/C11</f>
        <v>0.52257612616562299</v>
      </c>
      <c r="D17" s="74">
        <f t="shared" si="15"/>
        <v>0.53771092505703577</v>
      </c>
      <c r="E17" s="74">
        <f t="shared" si="15"/>
        <v>0.53814440073523095</v>
      </c>
      <c r="F17" s="74">
        <f t="shared" si="15"/>
        <v>0.52843282576472184</v>
      </c>
      <c r="G17" s="74">
        <f t="shared" si="15"/>
        <v>0.58063116986762431</v>
      </c>
      <c r="H17" s="74">
        <f t="shared" si="15"/>
        <v>0.57530071653211423</v>
      </c>
      <c r="I17" s="78">
        <v>0.57210000000000005</v>
      </c>
      <c r="J17" s="102">
        <v>0.57640000000000002</v>
      </c>
      <c r="K17" s="102">
        <v>0.57989999999999997</v>
      </c>
      <c r="L17" s="102">
        <f>K17+0.2%</f>
        <v>0.58189999999999997</v>
      </c>
      <c r="M17" s="102">
        <f t="shared" ref="M17:R17" si="16">L17+0.2%</f>
        <v>0.58389999999999997</v>
      </c>
      <c r="N17" s="102">
        <f t="shared" si="16"/>
        <v>0.58589999999999998</v>
      </c>
      <c r="O17" s="102">
        <v>0.58599999999999997</v>
      </c>
      <c r="P17" s="102">
        <v>0.58599999999999997</v>
      </c>
      <c r="Q17" s="102">
        <v>0.58599999999999997</v>
      </c>
      <c r="R17" s="102">
        <v>0.58599999999999997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99"/>
      <c r="K18" s="99"/>
      <c r="L18" s="99"/>
      <c r="M18" s="99"/>
      <c r="N18" s="99"/>
      <c r="O18" s="99"/>
      <c r="P18" s="99"/>
      <c r="Q18" s="99"/>
      <c r="R18" s="99"/>
    </row>
    <row r="19" spans="1:18" s="53" customFormat="1" x14ac:dyDescent="0.25">
      <c r="A19" s="1"/>
      <c r="B19" s="1" t="s">
        <v>39</v>
      </c>
      <c r="C19" s="11">
        <f>'Raw IS'!H9/1000</f>
        <v>2082.6619999999998</v>
      </c>
      <c r="D19" s="11">
        <f>'Raw IS'!I9/1000</f>
        <v>2457.5639999999999</v>
      </c>
      <c r="E19" s="11">
        <f>'Raw IS'!J9/1000</f>
        <v>2534.6979999999999</v>
      </c>
      <c r="F19" s="11">
        <f>'Raw IS'!B11</f>
        <v>2347.6</v>
      </c>
      <c r="G19" s="11">
        <f>'Raw IS'!C11</f>
        <v>2652.2</v>
      </c>
      <c r="H19" s="11">
        <f>'Raw IS'!D11</f>
        <v>2893.2</v>
      </c>
      <c r="I19" s="20">
        <f t="shared" ref="I19:R19" si="17">I20*I11</f>
        <v>2968.77</v>
      </c>
      <c r="J19" s="99">
        <f t="shared" si="17"/>
        <v>3135.6000000000004</v>
      </c>
      <c r="K19" s="99">
        <f t="shared" si="17"/>
        <v>3386.4480000000008</v>
      </c>
      <c r="L19" s="99">
        <f t="shared" si="17"/>
        <v>3608.0143200000007</v>
      </c>
      <c r="M19" s="99">
        <f t="shared" si="17"/>
        <v>3817.7326080000016</v>
      </c>
      <c r="N19" s="99">
        <f t="shared" si="17"/>
        <v>4046.7965644800024</v>
      </c>
      <c r="O19" s="99">
        <f t="shared" si="17"/>
        <v>4269.3703755264023</v>
      </c>
      <c r="P19" s="99">
        <f t="shared" si="17"/>
        <v>4482.8388943027221</v>
      </c>
      <c r="Q19" s="99">
        <f t="shared" si="17"/>
        <v>4684.5666445463448</v>
      </c>
      <c r="R19" s="99">
        <f t="shared" si="17"/>
        <v>4871.9493103281993</v>
      </c>
    </row>
    <row r="20" spans="1:18" s="53" customFormat="1" x14ac:dyDescent="0.25">
      <c r="A20" s="1"/>
      <c r="B20" s="73" t="s">
        <v>16</v>
      </c>
      <c r="C20" s="74">
        <f t="shared" ref="C20:H20" si="18">C19/C11</f>
        <v>0.42468378048258265</v>
      </c>
      <c r="D20" s="74">
        <f t="shared" si="18"/>
        <v>0.44078386638543327</v>
      </c>
      <c r="E20" s="74">
        <f t="shared" si="18"/>
        <v>0.43981602221170696</v>
      </c>
      <c r="F20" s="74">
        <f t="shared" si="18"/>
        <v>0.52724250999416067</v>
      </c>
      <c r="G20" s="74">
        <f t="shared" si="18"/>
        <v>0.46013983587501517</v>
      </c>
      <c r="H20" s="74">
        <f t="shared" si="18"/>
        <v>0.46902052329539923</v>
      </c>
      <c r="I20" s="75">
        <v>0.46899999999999997</v>
      </c>
      <c r="J20" s="76">
        <v>0.46800000000000003</v>
      </c>
      <c r="K20" s="76">
        <v>0.46800000000000003</v>
      </c>
      <c r="L20" s="76">
        <v>0.46600000000000003</v>
      </c>
      <c r="M20" s="76">
        <f>L20-0.2%</f>
        <v>0.46400000000000002</v>
      </c>
      <c r="N20" s="76">
        <v>0.46400000000000002</v>
      </c>
      <c r="O20" s="76">
        <v>0.46400000000000002</v>
      </c>
      <c r="P20" s="76">
        <v>0.46400000000000002</v>
      </c>
      <c r="Q20" s="76">
        <v>0.46400000000000002</v>
      </c>
      <c r="R20" s="76">
        <v>0.46400000000000002</v>
      </c>
    </row>
    <row r="21" spans="1:18" s="53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69"/>
      <c r="K21" s="69"/>
      <c r="L21" s="69"/>
      <c r="M21" s="69"/>
      <c r="N21" s="69"/>
      <c r="O21" s="69"/>
      <c r="P21" s="69"/>
      <c r="Q21" s="69"/>
      <c r="R21" s="69"/>
    </row>
    <row r="22" spans="1:18" s="53" customFormat="1" x14ac:dyDescent="0.25">
      <c r="A22" s="1"/>
      <c r="B22" s="1" t="s">
        <v>52</v>
      </c>
      <c r="C22" s="86"/>
      <c r="D22" s="86"/>
      <c r="E22" s="86"/>
      <c r="F22" s="86">
        <f>SUM('Raw IS'!B12)</f>
        <v>90.4</v>
      </c>
      <c r="G22" s="86">
        <f>SUM('Raw IS'!C12)</f>
        <v>8.3000000000000007</v>
      </c>
      <c r="H22" s="86">
        <f>SUM('Raw IS'!D12)</f>
        <v>9.1</v>
      </c>
      <c r="I22" s="87">
        <f>I23*I11</f>
        <v>25.32</v>
      </c>
      <c r="J22" s="103">
        <f t="shared" ref="J22:R22" si="19">J23*J11</f>
        <v>26.8</v>
      </c>
      <c r="K22" s="103">
        <f t="shared" si="19"/>
        <v>28.944000000000003</v>
      </c>
      <c r="L22" s="103">
        <f t="shared" si="19"/>
        <v>0</v>
      </c>
      <c r="M22" s="103">
        <f t="shared" si="19"/>
        <v>0</v>
      </c>
      <c r="N22" s="103">
        <f t="shared" si="19"/>
        <v>43.607721600000026</v>
      </c>
      <c r="O22" s="103">
        <f t="shared" si="19"/>
        <v>46.006146288000018</v>
      </c>
      <c r="P22" s="103">
        <f t="shared" si="19"/>
        <v>48.306453602400026</v>
      </c>
      <c r="Q22" s="103">
        <f t="shared" si="19"/>
        <v>50.480244014508024</v>
      </c>
      <c r="R22" s="103">
        <f t="shared" si="19"/>
        <v>52.499453775088348</v>
      </c>
    </row>
    <row r="23" spans="1:18" s="53" customFormat="1" x14ac:dyDescent="0.25">
      <c r="A23" s="1"/>
      <c r="B23" s="73" t="s">
        <v>16</v>
      </c>
      <c r="C23" s="74">
        <f>C22/C11</f>
        <v>0</v>
      </c>
      <c r="D23" s="74">
        <f t="shared" ref="D23:H23" si="20">D22/D11</f>
        <v>0</v>
      </c>
      <c r="E23" s="74">
        <f t="shared" si="20"/>
        <v>0</v>
      </c>
      <c r="F23" s="74">
        <f t="shared" si="20"/>
        <v>2.0302744463908728E-2</v>
      </c>
      <c r="G23" s="74">
        <f t="shared" si="20"/>
        <v>1.4399972241017369E-3</v>
      </c>
      <c r="H23" s="74">
        <f t="shared" si="20"/>
        <v>1.4752131764095579E-3</v>
      </c>
      <c r="I23" s="75">
        <v>4.0000000000000001E-3</v>
      </c>
      <c r="J23" s="76">
        <v>4.0000000000000001E-3</v>
      </c>
      <c r="K23" s="76">
        <v>4.0000000000000001E-3</v>
      </c>
      <c r="L23" s="76">
        <v>0</v>
      </c>
      <c r="M23" s="76">
        <v>0</v>
      </c>
      <c r="N23" s="76">
        <v>5.0000000000000001E-3</v>
      </c>
      <c r="O23" s="76">
        <v>5.0000000000000001E-3</v>
      </c>
      <c r="P23" s="76">
        <v>5.0000000000000001E-3</v>
      </c>
      <c r="Q23" s="76">
        <v>5.0000000000000001E-3</v>
      </c>
      <c r="R23" s="76">
        <v>5.0000000000000001E-3</v>
      </c>
    </row>
    <row r="24" spans="1:18" s="53" customFormat="1" ht="16.5" customHeight="1" x14ac:dyDescent="0.25">
      <c r="A24" s="1"/>
      <c r="B24" s="1"/>
      <c r="C24" s="11"/>
      <c r="D24" s="11"/>
      <c r="E24" s="11"/>
      <c r="F24" s="11"/>
      <c r="G24" s="11"/>
      <c r="H24" s="11"/>
      <c r="I24" s="39"/>
      <c r="J24" s="104"/>
      <c r="K24" s="104"/>
      <c r="L24" s="104"/>
      <c r="M24" s="104"/>
      <c r="N24" s="104"/>
      <c r="O24" s="104"/>
      <c r="P24" s="104"/>
      <c r="Q24" s="104"/>
      <c r="R24" s="104"/>
    </row>
    <row r="25" spans="1:18" s="53" customFormat="1" x14ac:dyDescent="0.25">
      <c r="A25" s="1"/>
      <c r="B25" s="1" t="s">
        <v>12</v>
      </c>
      <c r="C25" s="11">
        <f>C19+C22</f>
        <v>2082.6619999999998</v>
      </c>
      <c r="D25" s="11">
        <f t="shared" ref="D25:R25" si="21">D19+D22</f>
        <v>2457.5639999999999</v>
      </c>
      <c r="E25" s="11">
        <f t="shared" si="21"/>
        <v>2534.6979999999999</v>
      </c>
      <c r="F25" s="11">
        <f t="shared" si="21"/>
        <v>2438</v>
      </c>
      <c r="G25" s="11">
        <f t="shared" si="21"/>
        <v>2660.5</v>
      </c>
      <c r="H25" s="11">
        <f t="shared" si="21"/>
        <v>2902.2999999999997</v>
      </c>
      <c r="I25" s="39">
        <f t="shared" si="21"/>
        <v>2994.09</v>
      </c>
      <c r="J25" s="104">
        <f t="shared" si="21"/>
        <v>3162.4000000000005</v>
      </c>
      <c r="K25" s="104">
        <f t="shared" si="21"/>
        <v>3415.3920000000007</v>
      </c>
      <c r="L25" s="104">
        <f t="shared" si="21"/>
        <v>3608.0143200000007</v>
      </c>
      <c r="M25" s="104">
        <f t="shared" si="21"/>
        <v>3817.7326080000016</v>
      </c>
      <c r="N25" s="104">
        <f t="shared" si="21"/>
        <v>4090.4042860800023</v>
      </c>
      <c r="O25" s="104">
        <f t="shared" si="21"/>
        <v>4315.3765218144026</v>
      </c>
      <c r="P25" s="104">
        <f t="shared" si="21"/>
        <v>4531.1453479051224</v>
      </c>
      <c r="Q25" s="104">
        <f t="shared" si="21"/>
        <v>4735.0468885608525</v>
      </c>
      <c r="R25" s="104">
        <f t="shared" si="21"/>
        <v>4924.4487641032874</v>
      </c>
    </row>
    <row r="26" spans="1:18" s="53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9"/>
      <c r="K26" s="69"/>
      <c r="L26" s="69"/>
      <c r="M26" s="69"/>
      <c r="N26" s="69"/>
      <c r="O26" s="69"/>
      <c r="P26" s="69"/>
      <c r="Q26" s="69"/>
      <c r="R26" s="69"/>
    </row>
    <row r="27" spans="1:18" s="53" customFormat="1" x14ac:dyDescent="0.25">
      <c r="A27" s="1"/>
      <c r="B27" s="1" t="s">
        <v>13</v>
      </c>
      <c r="C27" s="11">
        <f>C16-C25</f>
        <v>480.06700000000001</v>
      </c>
      <c r="D27" s="11">
        <f t="shared" ref="D27:R27" si="22">D16-D25</f>
        <v>540.4109999999996</v>
      </c>
      <c r="E27" s="11">
        <f t="shared" si="22"/>
        <v>566.67500000000064</v>
      </c>
      <c r="F27" s="11">
        <f>F16-F25</f>
        <v>-85.099999999999454</v>
      </c>
      <c r="G27" s="11">
        <f t="shared" si="22"/>
        <v>686.19999999999982</v>
      </c>
      <c r="H27" s="11">
        <f t="shared" si="22"/>
        <v>646.50000000000045</v>
      </c>
      <c r="I27" s="39">
        <f t="shared" si="22"/>
        <v>627.30300000000034</v>
      </c>
      <c r="J27" s="104">
        <f t="shared" si="22"/>
        <v>699.47999999999956</v>
      </c>
      <c r="K27" s="104">
        <f t="shared" si="22"/>
        <v>780.76440000000002</v>
      </c>
      <c r="L27" s="104">
        <f t="shared" si="22"/>
        <v>897.358068</v>
      </c>
      <c r="M27" s="104">
        <f t="shared" si="22"/>
        <v>986.52185280000003</v>
      </c>
      <c r="N27" s="104">
        <f t="shared" si="22"/>
        <v>1019.5485310079998</v>
      </c>
      <c r="O27" s="104">
        <f t="shared" si="22"/>
        <v>1076.543823139199</v>
      </c>
      <c r="P27" s="104">
        <f t="shared" si="22"/>
        <v>1130.37101429616</v>
      </c>
      <c r="Q27" s="104">
        <f t="shared" si="22"/>
        <v>1181.237709939488</v>
      </c>
      <c r="R27" s="104">
        <f t="shared" si="22"/>
        <v>1228.4872183370671</v>
      </c>
    </row>
    <row r="28" spans="1:18" s="53" customFormat="1" x14ac:dyDescent="0.25">
      <c r="A28" s="1"/>
      <c r="B28" s="1" t="s">
        <v>195</v>
      </c>
      <c r="C28" s="88">
        <f>SUM('Raw IS'!H11:H15)/1000</f>
        <v>-131.286</v>
      </c>
      <c r="D28" s="88">
        <f>SUM('Raw IS'!I11:I15)/1000</f>
        <v>-40.389000000000003</v>
      </c>
      <c r="E28" s="88">
        <f>SUM('Raw IS'!J11:J15)/1000</f>
        <v>-89.090999999999994</v>
      </c>
      <c r="F28" s="88">
        <f>SUM('Raw IS'!B14:B17)</f>
        <v>-104.6</v>
      </c>
      <c r="G28" s="88">
        <f>SUM('Raw IS'!C14:C17)</f>
        <v>-106</v>
      </c>
      <c r="H28" s="88">
        <f>SUM('Raw IS'!D14:D17)</f>
        <v>3.1000000000000014</v>
      </c>
      <c r="I28" s="20">
        <f t="shared" ref="I28:R28" si="23">I29*I11</f>
        <v>-31.650000000000002</v>
      </c>
      <c r="J28" s="99">
        <f t="shared" si="23"/>
        <v>6.7</v>
      </c>
      <c r="K28" s="99">
        <f t="shared" si="23"/>
        <v>0</v>
      </c>
      <c r="L28" s="99">
        <f t="shared" si="23"/>
        <v>0</v>
      </c>
      <c r="M28" s="99">
        <f t="shared" si="23"/>
        <v>0</v>
      </c>
      <c r="N28" s="99">
        <f t="shared" si="23"/>
        <v>0</v>
      </c>
      <c r="O28" s="99">
        <f t="shared" si="23"/>
        <v>0</v>
      </c>
      <c r="P28" s="99">
        <f t="shared" si="23"/>
        <v>0</v>
      </c>
      <c r="Q28" s="99">
        <f t="shared" si="23"/>
        <v>0</v>
      </c>
      <c r="R28" s="99">
        <f t="shared" si="23"/>
        <v>0</v>
      </c>
    </row>
    <row r="29" spans="1:18" s="53" customFormat="1" x14ac:dyDescent="0.25">
      <c r="A29" s="1"/>
      <c r="B29" s="73" t="s">
        <v>16</v>
      </c>
      <c r="C29" s="74">
        <f t="shared" ref="C29:H29" si="24">C28/C11</f>
        <v>-2.6771043407156973E-2</v>
      </c>
      <c r="D29" s="74">
        <f t="shared" si="24"/>
        <v>-7.2440919461064963E-3</v>
      </c>
      <c r="E29" s="74">
        <f t="shared" si="24"/>
        <v>-1.5458902494444381E-2</v>
      </c>
      <c r="F29" s="74">
        <f t="shared" si="24"/>
        <v>-2.3491892377487309E-2</v>
      </c>
      <c r="G29" s="74">
        <f t="shared" si="24"/>
        <v>-1.8390325994552301E-2</v>
      </c>
      <c r="H29" s="74">
        <f t="shared" si="24"/>
        <v>5.0254514800765189E-4</v>
      </c>
      <c r="I29" s="78">
        <v>-5.0000000000000001E-3</v>
      </c>
      <c r="J29" s="102">
        <v>1E-3</v>
      </c>
      <c r="K29" s="102">
        <v>0</v>
      </c>
      <c r="L29" s="102">
        <v>0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</row>
    <row r="30" spans="1:18" s="53" customFormat="1" x14ac:dyDescent="0.25">
      <c r="A30" s="1"/>
      <c r="B30" s="1"/>
      <c r="C30" s="67"/>
      <c r="D30" s="67"/>
      <c r="E30" s="67"/>
      <c r="F30" s="67"/>
      <c r="G30" s="67"/>
      <c r="H30" s="67"/>
      <c r="I30" s="12"/>
      <c r="J30" s="100"/>
      <c r="K30" s="100"/>
      <c r="L30" s="100"/>
      <c r="M30" s="100"/>
      <c r="N30" s="100"/>
      <c r="O30" s="100"/>
      <c r="P30" s="100"/>
      <c r="Q30" s="100"/>
      <c r="R30" s="100"/>
    </row>
    <row r="31" spans="1:18" s="53" customFormat="1" x14ac:dyDescent="0.25">
      <c r="A31" s="1"/>
      <c r="B31" s="1" t="s">
        <v>14</v>
      </c>
      <c r="C31" s="11">
        <f>C27+C28</f>
        <v>348.78100000000001</v>
      </c>
      <c r="D31" s="11">
        <f t="shared" ref="D31:R31" si="25">D27+D28</f>
        <v>500.02199999999959</v>
      </c>
      <c r="E31" s="11">
        <f t="shared" si="25"/>
        <v>477.58400000000063</v>
      </c>
      <c r="F31" s="11">
        <f t="shared" si="25"/>
        <v>-189.69999999999945</v>
      </c>
      <c r="G31" s="11">
        <f t="shared" si="25"/>
        <v>580.19999999999982</v>
      </c>
      <c r="H31" s="11">
        <f t="shared" si="25"/>
        <v>649.60000000000048</v>
      </c>
      <c r="I31" s="39">
        <f t="shared" si="25"/>
        <v>595.65300000000036</v>
      </c>
      <c r="J31" s="104">
        <f t="shared" si="25"/>
        <v>706.17999999999961</v>
      </c>
      <c r="K31" s="104">
        <f t="shared" si="25"/>
        <v>780.76440000000002</v>
      </c>
      <c r="L31" s="104">
        <f t="shared" si="25"/>
        <v>897.358068</v>
      </c>
      <c r="M31" s="104">
        <f t="shared" si="25"/>
        <v>986.52185280000003</v>
      </c>
      <c r="N31" s="104">
        <f t="shared" si="25"/>
        <v>1019.5485310079998</v>
      </c>
      <c r="O31" s="104">
        <f t="shared" si="25"/>
        <v>1076.543823139199</v>
      </c>
      <c r="P31" s="104">
        <f t="shared" si="25"/>
        <v>1130.37101429616</v>
      </c>
      <c r="Q31" s="104">
        <f t="shared" si="25"/>
        <v>1181.237709939488</v>
      </c>
      <c r="R31" s="104">
        <f t="shared" si="25"/>
        <v>1228.4872183370671</v>
      </c>
    </row>
    <row r="32" spans="1:18" s="53" customFormat="1" x14ac:dyDescent="0.25">
      <c r="A32" s="1"/>
      <c r="B32" s="1"/>
      <c r="C32" s="21"/>
      <c r="D32" s="21"/>
      <c r="E32" s="21"/>
      <c r="F32" s="21"/>
      <c r="G32" s="21"/>
      <c r="H32" s="67"/>
      <c r="I32" s="12"/>
      <c r="J32" s="100"/>
      <c r="K32" s="100"/>
      <c r="L32" s="100"/>
      <c r="M32" s="100"/>
      <c r="N32" s="100"/>
      <c r="O32" s="100"/>
      <c r="P32" s="100"/>
      <c r="Q32" s="100"/>
      <c r="R32" s="100"/>
    </row>
    <row r="33" spans="1:86" s="53" customFormat="1" x14ac:dyDescent="0.25">
      <c r="A33" s="1"/>
      <c r="B33" s="1" t="s">
        <v>15</v>
      </c>
      <c r="C33" s="11">
        <f t="shared" ref="C33:R33" si="26">C27</f>
        <v>480.06700000000001</v>
      </c>
      <c r="D33" s="11">
        <f t="shared" si="26"/>
        <v>540.4109999999996</v>
      </c>
      <c r="E33" s="11">
        <f t="shared" si="26"/>
        <v>566.67500000000064</v>
      </c>
      <c r="F33" s="11">
        <f t="shared" si="26"/>
        <v>-85.099999999999454</v>
      </c>
      <c r="G33" s="11">
        <f t="shared" si="26"/>
        <v>686.19999999999982</v>
      </c>
      <c r="H33" s="11">
        <f t="shared" si="26"/>
        <v>646.50000000000045</v>
      </c>
      <c r="I33" s="39">
        <f t="shared" si="26"/>
        <v>627.30300000000034</v>
      </c>
      <c r="J33" s="104">
        <f t="shared" si="26"/>
        <v>699.47999999999956</v>
      </c>
      <c r="K33" s="104">
        <f t="shared" si="26"/>
        <v>780.76440000000002</v>
      </c>
      <c r="L33" s="104">
        <f t="shared" si="26"/>
        <v>897.358068</v>
      </c>
      <c r="M33" s="104">
        <f t="shared" si="26"/>
        <v>986.52185280000003</v>
      </c>
      <c r="N33" s="104">
        <f t="shared" si="26"/>
        <v>1019.5485310079998</v>
      </c>
      <c r="O33" s="104">
        <f t="shared" si="26"/>
        <v>1076.543823139199</v>
      </c>
      <c r="P33" s="104">
        <f t="shared" si="26"/>
        <v>1130.37101429616</v>
      </c>
      <c r="Q33" s="104">
        <f t="shared" si="26"/>
        <v>1181.237709939488</v>
      </c>
      <c r="R33" s="104">
        <f t="shared" si="26"/>
        <v>1228.4872183370671</v>
      </c>
    </row>
    <row r="34" spans="1:86" s="53" customFormat="1" x14ac:dyDescent="0.25">
      <c r="A34" s="1"/>
      <c r="B34" s="73" t="s">
        <v>16</v>
      </c>
      <c r="C34" s="74">
        <f t="shared" ref="C34:R34" si="27">C33/C11</f>
        <v>9.7892345683040283E-2</v>
      </c>
      <c r="D34" s="74">
        <f t="shared" si="27"/>
        <v>9.6927058671602534E-2</v>
      </c>
      <c r="E34" s="74">
        <f t="shared" si="27"/>
        <v>9.8328378523524038E-2</v>
      </c>
      <c r="F34" s="74">
        <f t="shared" si="27"/>
        <v>-1.9112428693347581E-2</v>
      </c>
      <c r="G34" s="74">
        <f t="shared" si="27"/>
        <v>0.1190513367685074</v>
      </c>
      <c r="H34" s="74">
        <f t="shared" si="27"/>
        <v>0.10480498006030549</v>
      </c>
      <c r="I34" s="75">
        <f t="shared" si="27"/>
        <v>9.9100000000000049E-2</v>
      </c>
      <c r="J34" s="76">
        <f t="shared" si="27"/>
        <v>0.10439999999999994</v>
      </c>
      <c r="K34" s="76">
        <f t="shared" si="27"/>
        <v>0.1079</v>
      </c>
      <c r="L34" s="76">
        <f t="shared" si="27"/>
        <v>0.11589999999999998</v>
      </c>
      <c r="M34" s="76">
        <f t="shared" si="27"/>
        <v>0.11989999999999996</v>
      </c>
      <c r="N34" s="76">
        <f t="shared" si="27"/>
        <v>0.11689999999999992</v>
      </c>
      <c r="O34" s="76">
        <f t="shared" si="27"/>
        <v>0.11699999999999985</v>
      </c>
      <c r="P34" s="76">
        <f t="shared" si="27"/>
        <v>0.11699999999999994</v>
      </c>
      <c r="Q34" s="76">
        <f t="shared" si="27"/>
        <v>0.11700000000000002</v>
      </c>
      <c r="R34" s="76">
        <f t="shared" si="27"/>
        <v>0.11699999999999998</v>
      </c>
    </row>
    <row r="35" spans="1:86" s="5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00"/>
      <c r="K35" s="100"/>
      <c r="L35" s="100"/>
      <c r="M35" s="100"/>
      <c r="N35" s="100"/>
      <c r="O35" s="100"/>
      <c r="P35" s="100"/>
      <c r="Q35" s="100"/>
      <c r="R35" s="100"/>
    </row>
    <row r="36" spans="1:86" s="53" customFormat="1" x14ac:dyDescent="0.25">
      <c r="A36" s="1"/>
      <c r="B36" s="1" t="s">
        <v>17</v>
      </c>
      <c r="C36" s="11">
        <f>'Raw IS'!H17/1000</f>
        <v>64.224999999999994</v>
      </c>
      <c r="D36" s="11">
        <f>'Raw IS'!I17/1000</f>
        <v>214.77799999999999</v>
      </c>
      <c r="E36" s="11">
        <f>'Raw IS'!J17/1000</f>
        <v>82.603999999999999</v>
      </c>
      <c r="F36" s="11">
        <f>'Raw IS'!B19</f>
        <v>-62.6</v>
      </c>
      <c r="G36" s="11">
        <f>'Raw IS'!C19</f>
        <v>26.7</v>
      </c>
      <c r="H36" s="11">
        <f>'Raw IS'!D19</f>
        <v>80.5</v>
      </c>
      <c r="I36" s="20">
        <f>I33*I37</f>
        <v>92.966304600000043</v>
      </c>
      <c r="J36" s="99">
        <f t="shared" ref="J36:R36" si="28">J33*J37</f>
        <v>122.75873999999992</v>
      </c>
      <c r="K36" s="99">
        <f t="shared" si="28"/>
        <v>132.72994800000001</v>
      </c>
      <c r="L36" s="99">
        <f t="shared" si="28"/>
        <v>152.55087156000002</v>
      </c>
      <c r="M36" s="99">
        <f t="shared" si="28"/>
        <v>167.70871497600001</v>
      </c>
      <c r="N36" s="99">
        <f t="shared" si="28"/>
        <v>173.32325027136</v>
      </c>
      <c r="O36" s="99">
        <f t="shared" si="28"/>
        <v>183.01244993366385</v>
      </c>
      <c r="P36" s="99">
        <f t="shared" si="28"/>
        <v>192.1630724303472</v>
      </c>
      <c r="Q36" s="99">
        <f t="shared" si="28"/>
        <v>200.81041068971297</v>
      </c>
      <c r="R36" s="99">
        <f t="shared" si="28"/>
        <v>208.84282711730143</v>
      </c>
    </row>
    <row r="37" spans="1:86" s="53" customFormat="1" x14ac:dyDescent="0.25">
      <c r="A37" s="1"/>
      <c r="B37" s="73" t="s">
        <v>18</v>
      </c>
      <c r="C37" s="77">
        <f>C36/C33</f>
        <v>0.13378340939910469</v>
      </c>
      <c r="D37" s="77">
        <f t="shared" ref="D37:H37" si="29">D36/D33</f>
        <v>0.39743454518875476</v>
      </c>
      <c r="E37" s="77">
        <f t="shared" si="29"/>
        <v>0.14576962103498461</v>
      </c>
      <c r="F37" s="77">
        <f t="shared" si="29"/>
        <v>0.73560517038778384</v>
      </c>
      <c r="G37" s="77">
        <f t="shared" si="29"/>
        <v>3.8909938793354713E-2</v>
      </c>
      <c r="H37" s="77">
        <f t="shared" si="29"/>
        <v>0.12451662799690633</v>
      </c>
      <c r="I37" s="78">
        <v>0.1482</v>
      </c>
      <c r="J37" s="102">
        <v>0.17549999999999999</v>
      </c>
      <c r="K37" s="102">
        <v>0.17</v>
      </c>
      <c r="L37" s="102">
        <v>0.17</v>
      </c>
      <c r="M37" s="102">
        <v>0.17</v>
      </c>
      <c r="N37" s="102">
        <v>0.17</v>
      </c>
      <c r="O37" s="102">
        <v>0.17</v>
      </c>
      <c r="P37" s="102">
        <v>0.17</v>
      </c>
      <c r="Q37" s="102">
        <v>0.17</v>
      </c>
      <c r="R37" s="102">
        <v>0.17</v>
      </c>
    </row>
    <row r="38" spans="1:86" s="5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86" s="53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6">
        <v>2023</v>
      </c>
      <c r="J39" s="105">
        <v>2024</v>
      </c>
      <c r="K39" s="105">
        <v>2025</v>
      </c>
      <c r="L39" s="105">
        <v>2026</v>
      </c>
      <c r="M39" s="105">
        <v>2027</v>
      </c>
      <c r="N39" s="105">
        <v>2028</v>
      </c>
      <c r="O39" s="105">
        <v>2029</v>
      </c>
      <c r="P39" s="105">
        <v>2030</v>
      </c>
      <c r="Q39" s="105">
        <v>2031</v>
      </c>
      <c r="R39" s="105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3" customFormat="1" x14ac:dyDescent="0.25">
      <c r="A40" s="1"/>
      <c r="B40" s="1" t="s">
        <v>20</v>
      </c>
      <c r="C40" s="11">
        <f>'Raw CF'!G10/1000</f>
        <v>117.387</v>
      </c>
      <c r="D40" s="11">
        <f>'Raw CF'!H10/1000</f>
        <v>120.205</v>
      </c>
      <c r="E40" s="11">
        <f>'Raw CF'!I10/1000</f>
        <v>123.94199999999999</v>
      </c>
      <c r="F40" s="11">
        <f>'Raw CF'!B12</f>
        <v>141.80000000000001</v>
      </c>
      <c r="G40" s="11">
        <f>'Raw CF'!C12</f>
        <v>143.19999999999999</v>
      </c>
      <c r="H40" s="11">
        <f>'Raw CF'!D12</f>
        <v>158.9</v>
      </c>
      <c r="I40" s="20">
        <f t="shared" ref="I40:Q40" si="30">I41*I11</f>
        <v>162.4</v>
      </c>
      <c r="J40" s="99">
        <f t="shared" si="30"/>
        <v>170</v>
      </c>
      <c r="K40" s="99">
        <f t="shared" si="30"/>
        <v>189.03033707865168</v>
      </c>
      <c r="L40" s="99">
        <f t="shared" si="30"/>
        <v>174.10943216080403</v>
      </c>
      <c r="M40" s="99">
        <f t="shared" si="30"/>
        <v>178.70058815331012</v>
      </c>
      <c r="N40" s="99">
        <f t="shared" si="30"/>
        <v>183.1524307200001</v>
      </c>
      <c r="O40" s="99">
        <f t="shared" si="30"/>
        <v>193.22581440960008</v>
      </c>
      <c r="P40" s="99">
        <f t="shared" si="30"/>
        <v>202.8871051300801</v>
      </c>
      <c r="Q40" s="99">
        <f t="shared" si="30"/>
        <v>212.01702486093373</v>
      </c>
      <c r="R40" s="99">
        <f t="shared" ref="R40" si="31">R41*R11</f>
        <v>220.49770585537109</v>
      </c>
    </row>
    <row r="41" spans="1:86" s="53" customFormat="1" x14ac:dyDescent="0.25">
      <c r="A41" s="1"/>
      <c r="B41" s="73" t="s">
        <v>16</v>
      </c>
      <c r="C41" s="74">
        <f t="shared" ref="C41:M41" si="32">C40/C11</f>
        <v>2.3936843779503798E-2</v>
      </c>
      <c r="D41" s="74">
        <f t="shared" si="32"/>
        <v>2.1559733402206821E-2</v>
      </c>
      <c r="E41" s="74">
        <f t="shared" si="32"/>
        <v>2.1506182363722773E-2</v>
      </c>
      <c r="F41" s="74">
        <f t="shared" si="32"/>
        <v>3.1846561559538245E-2</v>
      </c>
      <c r="G41" s="74">
        <f t="shared" si="32"/>
        <v>2.4844289456791409E-2</v>
      </c>
      <c r="H41" s="74">
        <f t="shared" si="32"/>
        <v>2.5759491618843822E-2</v>
      </c>
      <c r="I41" s="75">
        <v>2.5655608214849922E-2</v>
      </c>
      <c r="J41" s="76">
        <v>2.5373134328358207E-2</v>
      </c>
      <c r="K41" s="76">
        <v>2.6123595505617974E-2</v>
      </c>
      <c r="L41" s="76">
        <v>2.2487437185929646E-2</v>
      </c>
      <c r="M41" s="76">
        <v>2.171893147502903E-2</v>
      </c>
      <c r="N41" s="76">
        <v>2.1000000000000001E-2</v>
      </c>
      <c r="O41" s="76">
        <v>2.1000000000000001E-2</v>
      </c>
      <c r="P41" s="76">
        <v>2.1000000000000001E-2</v>
      </c>
      <c r="Q41" s="76">
        <v>2.1000000000000001E-2</v>
      </c>
      <c r="R41" s="76">
        <v>2.1000000000000001E-2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86" s="53" customFormat="1" x14ac:dyDescent="0.25">
      <c r="A43" s="1"/>
      <c r="B43" s="1" t="s">
        <v>21</v>
      </c>
      <c r="C43" s="11">
        <f>'Raw CF'!G36/1000</f>
        <v>-118.61799999999999</v>
      </c>
      <c r="D43" s="11">
        <f>'Raw CF'!H36/1000</f>
        <v>-159.41300000000001</v>
      </c>
      <c r="E43" s="11">
        <f>'Raw CF'!I36/1000</f>
        <v>-175.35599999999999</v>
      </c>
      <c r="F43" s="38">
        <f>'Raw CF'!B24</f>
        <v>-130.4</v>
      </c>
      <c r="G43" s="38">
        <f>'Raw CF'!C24</f>
        <v>-166.9</v>
      </c>
      <c r="H43" s="38">
        <f>'Raw CF'!D24</f>
        <v>-267.10000000000002</v>
      </c>
      <c r="I43" s="20">
        <f t="shared" ref="I43:Q43" si="33">I44*I11</f>
        <v>-287.68</v>
      </c>
      <c r="J43" s="99">
        <f t="shared" si="33"/>
        <v>-262.88</v>
      </c>
      <c r="K43" s="99">
        <f t="shared" si="33"/>
        <v>-307.04217977528094</v>
      </c>
      <c r="L43" s="99">
        <f t="shared" si="33"/>
        <v>-309.3117286432161</v>
      </c>
      <c r="M43" s="99">
        <f t="shared" si="33"/>
        <v>-328.73263275261326</v>
      </c>
      <c r="N43" s="99">
        <f t="shared" si="33"/>
        <v>-340.14022848000019</v>
      </c>
      <c r="O43" s="99">
        <f t="shared" si="33"/>
        <v>-358.84794104640014</v>
      </c>
      <c r="P43" s="99">
        <f t="shared" si="33"/>
        <v>-376.79033809872021</v>
      </c>
      <c r="Q43" s="99">
        <f t="shared" si="33"/>
        <v>-393.74590331316261</v>
      </c>
      <c r="R43" s="99">
        <f>R44*R11</f>
        <v>-409.49573944568914</v>
      </c>
    </row>
    <row r="44" spans="1:86" s="53" customFormat="1" x14ac:dyDescent="0.25">
      <c r="A44" s="1"/>
      <c r="B44" s="73" t="s">
        <v>16</v>
      </c>
      <c r="C44" s="74">
        <f t="shared" ref="C44:M44" si="34">C43/C11</f>
        <v>-2.418786181976864E-2</v>
      </c>
      <c r="D44" s="74">
        <f t="shared" si="34"/>
        <v>-2.8592003501068979E-2</v>
      </c>
      <c r="E44" s="74">
        <f t="shared" si="34"/>
        <v>-3.0427442792378457E-2</v>
      </c>
      <c r="F44" s="74">
        <f t="shared" si="34"/>
        <v>-2.9286259713425862E-2</v>
      </c>
      <c r="G44" s="74">
        <f t="shared" si="34"/>
        <v>-2.8956088759346972E-2</v>
      </c>
      <c r="H44" s="74">
        <f t="shared" si="34"/>
        <v>-4.3299938397691536E-2</v>
      </c>
      <c r="I44" s="75">
        <v>-4.544707740916272E-2</v>
      </c>
      <c r="J44" s="76">
        <v>-3.923582089552239E-2</v>
      </c>
      <c r="K44" s="76">
        <v>-4.2432584269662919E-2</v>
      </c>
      <c r="L44" s="76">
        <v>-3.9949748743718587E-2</v>
      </c>
      <c r="M44" s="76">
        <v>-3.9953542392566772E-2</v>
      </c>
      <c r="N44" s="76">
        <v>-3.9E-2</v>
      </c>
      <c r="O44" s="76">
        <v>-3.9E-2</v>
      </c>
      <c r="P44" s="76">
        <v>-3.9E-2</v>
      </c>
      <c r="Q44" s="76">
        <v>-3.9E-2</v>
      </c>
      <c r="R44" s="76">
        <v>-3.9E-2</v>
      </c>
    </row>
    <row r="45" spans="1:86" s="5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00"/>
      <c r="K45" s="100"/>
      <c r="L45" s="100"/>
      <c r="M45" s="100"/>
      <c r="N45" s="100"/>
      <c r="O45" s="100"/>
      <c r="P45" s="100"/>
      <c r="Q45" s="100"/>
      <c r="R45" s="100"/>
    </row>
    <row r="46" spans="1:86" s="53" customFormat="1" x14ac:dyDescent="0.25">
      <c r="A46" s="1"/>
      <c r="B46" s="1" t="s">
        <v>22</v>
      </c>
      <c r="C46" s="85">
        <f>SUM('Raw CF'!G24:G33)/1000</f>
        <v>7.2480000000000002</v>
      </c>
      <c r="D46" s="85">
        <f>SUM('Raw CF'!H24:H33)/1000</f>
        <v>-138.64400000000001</v>
      </c>
      <c r="E46" s="85">
        <f>SUM('Raw CF'!I24:I33)/1000</f>
        <v>-163.79599999999999</v>
      </c>
      <c r="F46" s="68">
        <f>SUM('Raw CF'!B21)</f>
        <v>382.6</v>
      </c>
      <c r="G46" s="68">
        <f>SUM('Raw CF'!C21)</f>
        <v>-23.8</v>
      </c>
      <c r="H46" s="68">
        <f>SUM('Raw CF'!D21)</f>
        <v>-550.29999999999995</v>
      </c>
      <c r="I46" s="20">
        <f t="shared" ref="I46:R46" si="35">I47*I11</f>
        <v>-126.60000000000001</v>
      </c>
      <c r="J46" s="99">
        <f t="shared" si="35"/>
        <v>67</v>
      </c>
      <c r="K46" s="99">
        <f t="shared" si="35"/>
        <v>36.180000000000007</v>
      </c>
      <c r="L46" s="99">
        <f t="shared" si="35"/>
        <v>77.425200000000018</v>
      </c>
      <c r="M46" s="99">
        <f t="shared" si="35"/>
        <v>82.278720000000035</v>
      </c>
      <c r="N46" s="99">
        <f t="shared" si="35"/>
        <v>65.411582400000029</v>
      </c>
      <c r="O46" s="99">
        <f t="shared" si="35"/>
        <v>46.006146288000011</v>
      </c>
      <c r="P46" s="99">
        <f t="shared" si="35"/>
        <v>24.153226801200006</v>
      </c>
      <c r="Q46" s="99">
        <f t="shared" si="35"/>
        <v>0</v>
      </c>
      <c r="R46" s="99">
        <f t="shared" si="35"/>
        <v>-26.249726887544174</v>
      </c>
    </row>
    <row r="47" spans="1:86" s="53" customFormat="1" x14ac:dyDescent="0.25">
      <c r="A47" s="1"/>
      <c r="B47" s="73" t="s">
        <v>16</v>
      </c>
      <c r="C47" s="74">
        <f t="shared" ref="C47:H47" si="36">C46/C11</f>
        <v>1.4779681200971448E-3</v>
      </c>
      <c r="D47" s="74">
        <f t="shared" si="36"/>
        <v>-2.486691633306071E-2</v>
      </c>
      <c r="E47" s="74">
        <f t="shared" si="36"/>
        <v>-2.842157336857833E-2</v>
      </c>
      <c r="F47" s="74">
        <f t="shared" si="36"/>
        <v>8.5927323361631405E-2</v>
      </c>
      <c r="G47" s="74">
        <f t="shared" si="36"/>
        <v>-4.129148666701366E-3</v>
      </c>
      <c r="H47" s="74">
        <f t="shared" si="36"/>
        <v>-8.9209869338261499E-2</v>
      </c>
      <c r="I47" s="78">
        <v>-0.02</v>
      </c>
      <c r="J47" s="102">
        <v>0.01</v>
      </c>
      <c r="K47" s="102">
        <v>5.0000000000000001E-3</v>
      </c>
      <c r="L47" s="102">
        <v>0.01</v>
      </c>
      <c r="M47" s="102">
        <v>0.01</v>
      </c>
      <c r="N47" s="102">
        <f t="shared" ref="N47:R47" si="37">M47-0.25%</f>
        <v>7.4999999999999997E-3</v>
      </c>
      <c r="O47" s="102">
        <f t="shared" si="37"/>
        <v>4.9999999999999992E-3</v>
      </c>
      <c r="P47" s="102">
        <f t="shared" si="37"/>
        <v>2.4999999999999992E-3</v>
      </c>
      <c r="Q47" s="102">
        <f t="shared" si="37"/>
        <v>0</v>
      </c>
      <c r="R47" s="102">
        <f t="shared" si="37"/>
        <v>-2.5000000000000001E-3</v>
      </c>
    </row>
    <row r="48" spans="1:86" s="5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86" s="53" customFormat="1" x14ac:dyDescent="0.25">
      <c r="A49" s="1"/>
      <c r="B49" s="9" t="s">
        <v>23</v>
      </c>
      <c r="C49" s="11">
        <f>C33-C36</f>
        <v>415.84199999999998</v>
      </c>
      <c r="D49" s="11">
        <f t="shared" ref="D49:R49" si="38">D33-D36</f>
        <v>325.63299999999958</v>
      </c>
      <c r="E49" s="11">
        <f t="shared" si="38"/>
        <v>484.07100000000065</v>
      </c>
      <c r="F49" s="11">
        <f t="shared" si="38"/>
        <v>-22.499999999999453</v>
      </c>
      <c r="G49" s="11">
        <f t="shared" si="38"/>
        <v>659.49999999999977</v>
      </c>
      <c r="H49" s="11">
        <f t="shared" si="38"/>
        <v>566.00000000000045</v>
      </c>
      <c r="I49" s="39">
        <f t="shared" si="38"/>
        <v>534.33669540000028</v>
      </c>
      <c r="J49" s="104">
        <f t="shared" si="38"/>
        <v>576.72125999999969</v>
      </c>
      <c r="K49" s="104">
        <f t="shared" si="38"/>
        <v>648.03445199999999</v>
      </c>
      <c r="L49" s="104">
        <f t="shared" si="38"/>
        <v>744.80719643999998</v>
      </c>
      <c r="M49" s="104">
        <f t="shared" si="38"/>
        <v>818.81313782400002</v>
      </c>
      <c r="N49" s="104">
        <f t="shared" si="38"/>
        <v>846.22528073663989</v>
      </c>
      <c r="O49" s="104">
        <f t="shared" si="38"/>
        <v>893.53137320553515</v>
      </c>
      <c r="P49" s="104">
        <f t="shared" si="38"/>
        <v>938.2079418658127</v>
      </c>
      <c r="Q49" s="104">
        <f t="shared" si="38"/>
        <v>980.42729924977505</v>
      </c>
      <c r="R49" s="104">
        <f t="shared" si="38"/>
        <v>1019.6443912197657</v>
      </c>
    </row>
    <row r="50" spans="1:86" s="53" customFormat="1" x14ac:dyDescent="0.25">
      <c r="A50" s="1"/>
      <c r="B50" s="9" t="s">
        <v>50</v>
      </c>
      <c r="C50" s="11">
        <f>'Raw IS'!H20/1000</f>
        <v>-3.153</v>
      </c>
      <c r="D50" s="11">
        <f>'Raw IS'!I20/1000</f>
        <v>-2.1019999999999999</v>
      </c>
      <c r="E50" s="11">
        <f>'Raw IS'!J20/1000</f>
        <v>-0.36799999999999999</v>
      </c>
      <c r="F50" s="11"/>
      <c r="G50" s="11"/>
      <c r="H50" s="11"/>
      <c r="I50" s="39"/>
      <c r="J50" s="104"/>
      <c r="K50" s="104"/>
      <c r="L50" s="104"/>
      <c r="M50" s="104"/>
      <c r="N50" s="104"/>
      <c r="O50" s="104"/>
      <c r="P50" s="104"/>
      <c r="Q50" s="104"/>
      <c r="R50" s="104"/>
    </row>
    <row r="51" spans="1:86" s="53" customFormat="1" x14ac:dyDescent="0.25">
      <c r="A51" s="1"/>
      <c r="B51" s="9" t="s">
        <v>24</v>
      </c>
      <c r="C51" s="11">
        <f>C31-C36+C50</f>
        <v>281.40300000000002</v>
      </c>
      <c r="D51" s="11">
        <f t="shared" ref="D51:E51" si="39">D31-D36+D50</f>
        <v>283.1419999999996</v>
      </c>
      <c r="E51" s="11">
        <f t="shared" si="39"/>
        <v>394.61200000000065</v>
      </c>
      <c r="F51" s="84">
        <f t="shared" ref="F51" si="40">F31-F36+F50</f>
        <v>-127.09999999999945</v>
      </c>
      <c r="G51" s="11">
        <f>G31-G36+G50</f>
        <v>553.49999999999977</v>
      </c>
      <c r="H51" s="11">
        <f t="shared" ref="H51" si="41">H31-H36+H50</f>
        <v>569.10000000000048</v>
      </c>
      <c r="I51" s="39">
        <f>I31-I36+I50</f>
        <v>502.6866954000003</v>
      </c>
      <c r="J51" s="104">
        <f t="shared" ref="J51" si="42">J31-J36+J50</f>
        <v>583.42125999999973</v>
      </c>
      <c r="K51" s="104">
        <f t="shared" ref="K51" si="43">K31-K36+K50</f>
        <v>648.03445199999999</v>
      </c>
      <c r="L51" s="104">
        <f t="shared" ref="L51" si="44">L31-L36+L50</f>
        <v>744.80719643999998</v>
      </c>
      <c r="M51" s="104">
        <f t="shared" ref="M51" si="45">M31-M36+M50</f>
        <v>818.81313782400002</v>
      </c>
      <c r="N51" s="104">
        <f t="shared" ref="N51" si="46">N31-N36+N50</f>
        <v>846.22528073663989</v>
      </c>
      <c r="O51" s="104">
        <f t="shared" ref="O51" si="47">O31-O36+O50</f>
        <v>893.53137320553515</v>
      </c>
      <c r="P51" s="104">
        <f t="shared" ref="P51" si="48">P31-P36+P50</f>
        <v>938.2079418658127</v>
      </c>
      <c r="Q51" s="104">
        <f t="shared" ref="Q51" si="49">Q31-Q36+Q50</f>
        <v>980.42729924977505</v>
      </c>
      <c r="R51" s="104">
        <f t="shared" ref="R51" si="50">R31-R36+R50</f>
        <v>1019.6443912197657</v>
      </c>
      <c r="S51" s="54">
        <f>R51*(1+$E$6)</f>
        <v>1029.8408351319633</v>
      </c>
      <c r="T51" s="54">
        <f t="shared" ref="T51:CE51" si="51">S51*(1+$E$6)</f>
        <v>1040.1392434832831</v>
      </c>
      <c r="U51" s="54">
        <f t="shared" si="51"/>
        <v>1050.5406359181159</v>
      </c>
      <c r="V51" s="54">
        <f t="shared" si="51"/>
        <v>1061.0460422772971</v>
      </c>
      <c r="W51" s="54">
        <f t="shared" si="51"/>
        <v>1071.6565027000702</v>
      </c>
      <c r="X51" s="54">
        <f t="shared" si="51"/>
        <v>1082.373067727071</v>
      </c>
      <c r="Y51" s="54">
        <f t="shared" si="51"/>
        <v>1093.1967984043417</v>
      </c>
      <c r="Z51" s="54">
        <f t="shared" si="51"/>
        <v>1104.1287663883852</v>
      </c>
      <c r="AA51" s="54">
        <f t="shared" si="51"/>
        <v>1115.1700540522691</v>
      </c>
      <c r="AB51" s="54">
        <f t="shared" si="51"/>
        <v>1126.3217545927916</v>
      </c>
      <c r="AC51" s="54">
        <f t="shared" si="51"/>
        <v>1137.5849721387196</v>
      </c>
      <c r="AD51" s="54">
        <f t="shared" si="51"/>
        <v>1148.9608218601068</v>
      </c>
      <c r="AE51" s="54">
        <f t="shared" si="51"/>
        <v>1160.4504300787078</v>
      </c>
      <c r="AF51" s="54">
        <f t="shared" si="51"/>
        <v>1172.0549343794949</v>
      </c>
      <c r="AG51" s="54">
        <f t="shared" si="51"/>
        <v>1183.7754837232899</v>
      </c>
      <c r="AH51" s="54">
        <f t="shared" si="51"/>
        <v>1195.6132385605229</v>
      </c>
      <c r="AI51" s="54">
        <f t="shared" si="51"/>
        <v>1207.5693709461282</v>
      </c>
      <c r="AJ51" s="54">
        <f t="shared" si="51"/>
        <v>1219.6450646555895</v>
      </c>
      <c r="AK51" s="54">
        <f t="shared" si="51"/>
        <v>1231.8415153021454</v>
      </c>
      <c r="AL51" s="54">
        <f t="shared" si="51"/>
        <v>1244.1599304551669</v>
      </c>
      <c r="AM51" s="54">
        <f t="shared" si="51"/>
        <v>1256.6015297597185</v>
      </c>
      <c r="AN51" s="54">
        <f t="shared" si="51"/>
        <v>1269.1675450573157</v>
      </c>
      <c r="AO51" s="54">
        <f t="shared" si="51"/>
        <v>1281.8592205078889</v>
      </c>
      <c r="AP51" s="54">
        <f t="shared" si="51"/>
        <v>1294.6778127129678</v>
      </c>
      <c r="AQ51" s="54">
        <f t="shared" si="51"/>
        <v>1307.6245908400974</v>
      </c>
      <c r="AR51" s="54">
        <f t="shared" si="51"/>
        <v>1320.7008367484984</v>
      </c>
      <c r="AS51" s="54">
        <f t="shared" si="51"/>
        <v>1333.9078451159835</v>
      </c>
      <c r="AT51" s="54">
        <f t="shared" si="51"/>
        <v>1347.2469235671433</v>
      </c>
      <c r="AU51" s="54">
        <f t="shared" si="51"/>
        <v>1360.7193928028148</v>
      </c>
      <c r="AV51" s="54">
        <f t="shared" si="51"/>
        <v>1374.326586730843</v>
      </c>
      <c r="AW51" s="54">
        <f t="shared" si="51"/>
        <v>1388.0698525981516</v>
      </c>
      <c r="AX51" s="54">
        <f t="shared" si="51"/>
        <v>1401.950551124133</v>
      </c>
      <c r="AY51" s="54">
        <f t="shared" si="51"/>
        <v>1415.9700566353742</v>
      </c>
      <c r="AZ51" s="54">
        <f t="shared" si="51"/>
        <v>1430.1297572017279</v>
      </c>
      <c r="BA51" s="54">
        <f t="shared" si="51"/>
        <v>1444.4310547737452</v>
      </c>
      <c r="BB51" s="54">
        <f t="shared" si="51"/>
        <v>1458.8753653214826</v>
      </c>
      <c r="BC51" s="54">
        <f t="shared" si="51"/>
        <v>1473.4641189746974</v>
      </c>
      <c r="BD51" s="54">
        <f t="shared" si="51"/>
        <v>1488.1987601644444</v>
      </c>
      <c r="BE51" s="54">
        <f t="shared" si="51"/>
        <v>1503.0807477660887</v>
      </c>
      <c r="BF51" s="54">
        <f t="shared" si="51"/>
        <v>1518.1115552437495</v>
      </c>
      <c r="BG51" s="54">
        <f t="shared" si="51"/>
        <v>1533.2926707961869</v>
      </c>
      <c r="BH51" s="54">
        <f t="shared" si="51"/>
        <v>1548.6255975041488</v>
      </c>
      <c r="BI51" s="54">
        <f t="shared" si="51"/>
        <v>1564.1118534791904</v>
      </c>
      <c r="BJ51" s="54">
        <f t="shared" si="51"/>
        <v>1579.7529720139823</v>
      </c>
      <c r="BK51" s="54">
        <f t="shared" si="51"/>
        <v>1595.5505017341222</v>
      </c>
      <c r="BL51" s="54">
        <f t="shared" si="51"/>
        <v>1611.5060067514635</v>
      </c>
      <c r="BM51" s="54">
        <f t="shared" si="51"/>
        <v>1627.6210668189781</v>
      </c>
      <c r="BN51" s="54">
        <f t="shared" si="51"/>
        <v>1643.8972774871679</v>
      </c>
      <c r="BO51" s="54">
        <f t="shared" si="51"/>
        <v>1660.3362502620396</v>
      </c>
      <c r="BP51" s="54">
        <f t="shared" si="51"/>
        <v>1676.9396127646601</v>
      </c>
      <c r="BQ51" s="54">
        <f t="shared" si="51"/>
        <v>1693.7090088923067</v>
      </c>
      <c r="BR51" s="54">
        <f t="shared" si="51"/>
        <v>1710.6460989812297</v>
      </c>
      <c r="BS51" s="54">
        <f t="shared" si="51"/>
        <v>1727.752559971042</v>
      </c>
      <c r="BT51" s="54">
        <f t="shared" si="51"/>
        <v>1745.0300855707526</v>
      </c>
      <c r="BU51" s="54">
        <f t="shared" si="51"/>
        <v>1762.4803864264602</v>
      </c>
      <c r="BV51" s="54">
        <f t="shared" si="51"/>
        <v>1780.1051902907247</v>
      </c>
      <c r="BW51" s="54">
        <f t="shared" si="51"/>
        <v>1797.9062421936321</v>
      </c>
      <c r="BX51" s="54">
        <f t="shared" si="51"/>
        <v>1815.8853046155684</v>
      </c>
      <c r="BY51" s="54">
        <f t="shared" si="51"/>
        <v>1834.0441576617241</v>
      </c>
      <c r="BZ51" s="54">
        <f t="shared" si="51"/>
        <v>1852.3845992383413</v>
      </c>
      <c r="CA51" s="54">
        <f t="shared" si="51"/>
        <v>1870.9084452307247</v>
      </c>
      <c r="CB51" s="54">
        <f t="shared" si="51"/>
        <v>1889.617529683032</v>
      </c>
      <c r="CC51" s="54">
        <f t="shared" si="51"/>
        <v>1908.5137049798623</v>
      </c>
      <c r="CD51" s="54">
        <f t="shared" si="51"/>
        <v>1927.598842029661</v>
      </c>
      <c r="CE51" s="54">
        <f t="shared" si="51"/>
        <v>1946.8748304499577</v>
      </c>
      <c r="CF51" s="54">
        <f t="shared" ref="CF51:CH51" si="52">CE51*(1+$E$6)</f>
        <v>1966.3435787544572</v>
      </c>
      <c r="CG51" s="54">
        <f t="shared" si="52"/>
        <v>1986.0070145420018</v>
      </c>
      <c r="CH51" s="54">
        <f t="shared" si="52"/>
        <v>2005.8670846874218</v>
      </c>
    </row>
    <row r="52" spans="1:86" s="53" customFormat="1" x14ac:dyDescent="0.25">
      <c r="A52" s="1"/>
      <c r="B52" s="9"/>
      <c r="C52" s="11"/>
      <c r="D52" s="11"/>
      <c r="E52" s="11"/>
      <c r="F52" s="11"/>
      <c r="G52" s="11"/>
      <c r="H52" s="11"/>
      <c r="I52" s="39"/>
      <c r="J52" s="104"/>
      <c r="K52" s="104"/>
      <c r="L52" s="104"/>
      <c r="M52" s="104"/>
      <c r="N52" s="104"/>
      <c r="O52" s="104"/>
      <c r="P52" s="104"/>
      <c r="Q52" s="104"/>
      <c r="R52" s="10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</row>
    <row r="53" spans="1:86" s="53" customFormat="1" x14ac:dyDescent="0.25">
      <c r="A53" s="1"/>
      <c r="B53" s="6"/>
      <c r="C53" s="11"/>
      <c r="D53" s="11"/>
      <c r="E53" s="11"/>
      <c r="F53" s="11"/>
      <c r="G53" s="11"/>
      <c r="H53" s="11"/>
      <c r="I53" s="12"/>
      <c r="J53" s="100"/>
      <c r="K53" s="100"/>
      <c r="L53" s="100"/>
      <c r="M53" s="100"/>
      <c r="N53" s="100"/>
      <c r="O53" s="100"/>
      <c r="P53" s="100"/>
      <c r="Q53" s="100"/>
      <c r="R53" s="100"/>
    </row>
    <row r="54" spans="1:86" s="53" customFormat="1" x14ac:dyDescent="0.25">
      <c r="A54" s="1"/>
      <c r="B54" s="9" t="s">
        <v>25</v>
      </c>
      <c r="C54" s="24">
        <f t="shared" ref="C54:R54" si="53">C49+C40+C43-C46</f>
        <v>407.36300000000006</v>
      </c>
      <c r="D54" s="24">
        <f t="shared" si="53"/>
        <v>425.06899999999956</v>
      </c>
      <c r="E54" s="24">
        <f t="shared" si="53"/>
        <v>596.45300000000066</v>
      </c>
      <c r="F54" s="24">
        <f t="shared" si="53"/>
        <v>-393.69999999999948</v>
      </c>
      <c r="G54" s="24">
        <f t="shared" si="53"/>
        <v>659.5999999999998</v>
      </c>
      <c r="H54" s="24">
        <f t="shared" si="53"/>
        <v>1008.1000000000004</v>
      </c>
      <c r="I54" s="39">
        <f t="shared" si="53"/>
        <v>535.65669540000022</v>
      </c>
      <c r="J54" s="104">
        <f t="shared" si="53"/>
        <v>416.84125999999969</v>
      </c>
      <c r="K54" s="104">
        <f t="shared" si="53"/>
        <v>493.84260930337069</v>
      </c>
      <c r="L54" s="104">
        <f t="shared" si="53"/>
        <v>532.17969995758779</v>
      </c>
      <c r="M54" s="104">
        <f t="shared" si="53"/>
        <v>586.50237322469684</v>
      </c>
      <c r="N54" s="104">
        <f t="shared" si="53"/>
        <v>623.82590057663992</v>
      </c>
      <c r="O54" s="104">
        <f t="shared" si="53"/>
        <v>681.9031002807352</v>
      </c>
      <c r="P54" s="104">
        <f t="shared" si="53"/>
        <v>740.15148209597248</v>
      </c>
      <c r="Q54" s="104">
        <f t="shared" si="53"/>
        <v>798.69842079754608</v>
      </c>
      <c r="R54" s="104">
        <f t="shared" si="53"/>
        <v>856.89608451699166</v>
      </c>
    </row>
    <row r="55" spans="1:86" s="53" customFormat="1" x14ac:dyDescent="0.25">
      <c r="A55" s="1"/>
      <c r="B55" s="25" t="s">
        <v>26</v>
      </c>
      <c r="C55" s="1"/>
      <c r="D55" s="1"/>
      <c r="E55" s="1"/>
      <c r="F55" s="1"/>
      <c r="G55" s="1"/>
      <c r="H55" s="1"/>
      <c r="I55" s="70">
        <f t="shared" ref="I55:R55" si="54">I54/((1+$E$5)^I9)</f>
        <v>488.72673387359032</v>
      </c>
      <c r="J55" s="71">
        <f t="shared" si="54"/>
        <v>347.00027314884659</v>
      </c>
      <c r="K55" s="71">
        <f t="shared" si="54"/>
        <v>375.08287278901963</v>
      </c>
      <c r="L55" s="71">
        <f t="shared" si="54"/>
        <v>368.78779329544773</v>
      </c>
      <c r="M55" s="71">
        <f t="shared" si="54"/>
        <v>370.82377050825573</v>
      </c>
      <c r="N55" s="71">
        <f t="shared" si="54"/>
        <v>359.86594666369518</v>
      </c>
      <c r="O55" s="71">
        <f t="shared" si="54"/>
        <v>358.90505345324175</v>
      </c>
      <c r="P55" s="71">
        <f t="shared" si="54"/>
        <v>355.43245379873463</v>
      </c>
      <c r="Q55" s="71">
        <f t="shared" si="54"/>
        <v>349.94424099914863</v>
      </c>
      <c r="R55" s="71">
        <f t="shared" si="54"/>
        <v>342.54981849707758</v>
      </c>
    </row>
    <row r="56" spans="1:86" s="53" customFormat="1" x14ac:dyDescent="0.25">
      <c r="A56" s="1"/>
      <c r="B56" s="26"/>
      <c r="C56" s="26"/>
      <c r="D56" s="26"/>
      <c r="E56" s="26"/>
      <c r="F56" s="26"/>
      <c r="G56" s="26"/>
      <c r="H56" s="26"/>
      <c r="I56" s="72"/>
      <c r="J56" s="1"/>
      <c r="K56" s="1"/>
      <c r="L56" s="1"/>
      <c r="M56" s="1"/>
      <c r="N56" s="1"/>
      <c r="O56" s="1"/>
      <c r="P56" s="1"/>
      <c r="Q56" s="1"/>
      <c r="R56" s="1"/>
    </row>
    <row r="57" spans="1:86" s="53" customFormat="1" x14ac:dyDescent="0.25">
      <c r="A57" s="1"/>
      <c r="B57" s="1" t="s">
        <v>27</v>
      </c>
      <c r="C57" s="27">
        <f>(R54*(1+$E$6))/($E$5-$E$6)</f>
        <v>10060.627965788521</v>
      </c>
      <c r="D57" s="1"/>
      <c r="E57" s="1" t="s">
        <v>28</v>
      </c>
      <c r="F57" s="18">
        <f>NPV($E$5,I51:CH51)</f>
        <v>9483.7235581918048</v>
      </c>
      <c r="G57" s="1"/>
      <c r="H57" s="1"/>
      <c r="I57" s="15"/>
      <c r="J57" s="1"/>
      <c r="K57" s="1"/>
      <c r="L57" s="1"/>
      <c r="M57" s="1"/>
      <c r="N57" s="1"/>
      <c r="O57" s="1"/>
      <c r="P57" s="1"/>
      <c r="Q57" s="1"/>
      <c r="R57" s="2"/>
    </row>
    <row r="58" spans="1:86" s="53" customFormat="1" x14ac:dyDescent="0.25">
      <c r="A58" s="1"/>
      <c r="B58" s="3" t="s">
        <v>29</v>
      </c>
      <c r="C58" s="28">
        <f>C57/((1+$E$5)^$R$9)</f>
        <v>4021.8018799677961</v>
      </c>
      <c r="D58" s="16"/>
      <c r="E58" s="3"/>
      <c r="F58" s="3"/>
      <c r="G58" s="3"/>
      <c r="H58" s="16"/>
      <c r="I58" s="12"/>
      <c r="J58" s="1"/>
      <c r="K58" s="2"/>
      <c r="L58" s="89" t="s">
        <v>53</v>
      </c>
      <c r="M58" s="89"/>
      <c r="N58" s="89"/>
      <c r="O58" s="89"/>
      <c r="P58" s="89"/>
      <c r="Q58" s="89"/>
      <c r="R58" s="2"/>
    </row>
    <row r="59" spans="1:86" x14ac:dyDescent="0.25">
      <c r="A59" s="1"/>
      <c r="B59" s="6" t="s">
        <v>30</v>
      </c>
      <c r="C59" s="6"/>
      <c r="D59" s="1"/>
      <c r="E59" s="6"/>
      <c r="F59" s="6"/>
      <c r="G59" s="29" t="s">
        <v>31</v>
      </c>
      <c r="H59" s="29" t="s">
        <v>28</v>
      </c>
      <c r="I59" s="15"/>
      <c r="J59" s="1"/>
      <c r="K59" s="55"/>
      <c r="L59" s="60">
        <f>E65</f>
        <v>19.260266820569385</v>
      </c>
      <c r="M59" s="79">
        <v>-0.02</v>
      </c>
      <c r="N59" s="79">
        <v>-0.01</v>
      </c>
      <c r="O59" s="79">
        <v>0.01</v>
      </c>
      <c r="P59" s="79">
        <v>0.02</v>
      </c>
      <c r="Q59" s="79">
        <v>0.03</v>
      </c>
    </row>
    <row r="60" spans="1:86" x14ac:dyDescent="0.25">
      <c r="A60" s="1"/>
      <c r="B60" s="30" t="s">
        <v>32</v>
      </c>
      <c r="C60" s="1"/>
      <c r="D60" s="23">
        <v>321.8</v>
      </c>
      <c r="E60" s="1"/>
      <c r="F60" s="1"/>
      <c r="G60" s="27">
        <f>C58+SUM(I55:R55)</f>
        <v>7738.9208369948537</v>
      </c>
      <c r="H60" s="18">
        <f>F57</f>
        <v>9483.7235581918048</v>
      </c>
      <c r="I60" s="15"/>
      <c r="K60" s="55"/>
      <c r="L60" s="57">
        <f>L61-1%</f>
        <v>7.5940895888006094E-2</v>
      </c>
      <c r="M60" s="61">
        <f t="dataTable" ref="M60:Q64" dt2D="1" dtr="1" r1="E6" r2="E5"/>
        <v>20.9131187465326</v>
      </c>
      <c r="N60" s="61">
        <v>22.385008269161801</v>
      </c>
      <c r="O60" s="61">
        <v>26.604468122711694</v>
      </c>
      <c r="P60" s="61">
        <v>29.754845228283475</v>
      </c>
      <c r="Q60" s="61">
        <v>34.106693831775821</v>
      </c>
    </row>
    <row r="61" spans="1:86" x14ac:dyDescent="0.25">
      <c r="A61" s="1"/>
      <c r="B61" s="31" t="s">
        <v>33</v>
      </c>
      <c r="C61" s="3"/>
      <c r="D61" s="40">
        <f>1774.2-475.4</f>
        <v>1298.8000000000002</v>
      </c>
      <c r="E61" s="3"/>
      <c r="F61" s="3"/>
      <c r="G61" s="3"/>
      <c r="H61" s="3"/>
      <c r="I61" s="15"/>
      <c r="K61" s="56"/>
      <c r="L61" s="57">
        <f>L62-1%</f>
        <v>8.5940895888006089E-2</v>
      </c>
      <c r="M61" s="61">
        <v>18.312208783120326</v>
      </c>
      <c r="N61" s="62">
        <v>19.415176400915133</v>
      </c>
      <c r="O61" s="62">
        <v>22.465715300112493</v>
      </c>
      <c r="P61" s="62">
        <v>24.647492528027627</v>
      </c>
      <c r="Q61" s="61">
        <v>27.541443937372982</v>
      </c>
      <c r="R61" s="49"/>
    </row>
    <row r="62" spans="1:86" x14ac:dyDescent="0.25">
      <c r="A62" s="1"/>
      <c r="B62" s="6" t="s">
        <v>34</v>
      </c>
      <c r="C62" s="6"/>
      <c r="D62" s="6"/>
      <c r="E62" s="6"/>
      <c r="F62" s="6"/>
      <c r="G62" s="32">
        <f>G60+D60-D61</f>
        <v>6761.9208369948537</v>
      </c>
      <c r="H62" s="33">
        <f>H60+D60-D61</f>
        <v>8506.723558191803</v>
      </c>
      <c r="I62" s="15"/>
      <c r="K62" s="55" t="s">
        <v>1</v>
      </c>
      <c r="L62" s="57">
        <v>9.5940895888006084E-2</v>
      </c>
      <c r="M62" s="61">
        <v>16.180344268395334</v>
      </c>
      <c r="N62" s="62">
        <v>17.022688863253997</v>
      </c>
      <c r="O62" s="63">
        <v>19.283863064371552</v>
      </c>
      <c r="P62" s="62">
        <v>20.845187442753925</v>
      </c>
      <c r="Q62" s="61">
        <v>22.851903741092435</v>
      </c>
    </row>
    <row r="63" spans="1:86" x14ac:dyDescent="0.25">
      <c r="A63" s="1"/>
      <c r="B63" s="3" t="s">
        <v>35</v>
      </c>
      <c r="C63" s="3"/>
      <c r="D63" s="38">
        <f>396376762/1000000</f>
        <v>396.37676199999999</v>
      </c>
      <c r="E63" s="3"/>
      <c r="F63" s="3"/>
      <c r="G63" s="3"/>
      <c r="H63" s="34"/>
      <c r="I63" s="15"/>
      <c r="K63" s="55"/>
      <c r="L63" s="58">
        <f>L62+1%</f>
        <v>0.10594089588800608</v>
      </c>
      <c r="M63" s="61">
        <v>14.405348450518606</v>
      </c>
      <c r="N63" s="62">
        <v>15.05916136907512</v>
      </c>
      <c r="O63" s="62">
        <v>16.770555028805315</v>
      </c>
      <c r="P63" s="62">
        <v>17.918040469776638</v>
      </c>
      <c r="Q63" s="61">
        <v>19.355690680901219</v>
      </c>
    </row>
    <row r="64" spans="1:86" x14ac:dyDescent="0.25">
      <c r="A64" s="1"/>
      <c r="B64" s="17" t="s">
        <v>36</v>
      </c>
      <c r="C64" s="17"/>
      <c r="D64" s="64">
        <f>D63*$J$5</f>
        <v>5751.42681662</v>
      </c>
      <c r="E64" s="17"/>
      <c r="F64" s="17"/>
      <c r="G64" s="17"/>
      <c r="H64" s="35"/>
      <c r="I64" s="1"/>
      <c r="K64" s="55"/>
      <c r="L64" s="58">
        <f>L63+1%</f>
        <v>0.11594089588800607</v>
      </c>
      <c r="M64" s="61">
        <v>12.907621149955391</v>
      </c>
      <c r="N64" s="61">
        <v>13.422238985272493</v>
      </c>
      <c r="O64" s="61">
        <v>14.740633968775747</v>
      </c>
      <c r="P64" s="61">
        <v>15.602887849177575</v>
      </c>
      <c r="Q64" s="61">
        <v>16.660531707472355</v>
      </c>
    </row>
    <row r="65" spans="1:9" x14ac:dyDescent="0.25">
      <c r="A65" s="1"/>
      <c r="B65" s="6" t="s">
        <v>37</v>
      </c>
      <c r="D65" s="6" t="s">
        <v>38</v>
      </c>
      <c r="E65" s="36">
        <f>(G65+H65)/2</f>
        <v>19.260266820569385</v>
      </c>
      <c r="F65" s="6"/>
      <c r="G65" s="36">
        <f>G62/D63</f>
        <v>17.059327097976681</v>
      </c>
      <c r="H65" s="37">
        <f>H62/D63</f>
        <v>21.461206543162092</v>
      </c>
      <c r="I65" s="15"/>
    </row>
    <row r="66" spans="1:9" x14ac:dyDescent="0.25">
      <c r="B66" s="42"/>
      <c r="C66" s="42"/>
      <c r="D66" s="42"/>
      <c r="E66" s="42"/>
      <c r="F66" s="42"/>
      <c r="G66" s="42"/>
      <c r="H66" s="42"/>
      <c r="I66" s="22"/>
    </row>
  </sheetData>
  <sortState xmlns:xlrd2="http://schemas.microsoft.com/office/spreadsheetml/2017/richdata2" columnSort="1" ref="C10:H55">
    <sortCondition ref="C10:H10"/>
  </sortState>
  <mergeCells count="1">
    <mergeCell ref="L58:Q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J29"/>
  <sheetViews>
    <sheetView workbookViewId="0">
      <selection activeCell="G7" sqref="G7"/>
    </sheetView>
  </sheetViews>
  <sheetFormatPr defaultRowHeight="15" x14ac:dyDescent="0.25"/>
  <cols>
    <col min="1" max="1" width="55" customWidth="1"/>
    <col min="2" max="4" width="22.5703125" customWidth="1"/>
    <col min="7" max="7" width="69" customWidth="1"/>
    <col min="8" max="10" width="18" customWidth="1"/>
  </cols>
  <sheetData>
    <row r="1" spans="1:10" x14ac:dyDescent="0.25">
      <c r="A1" s="91" t="s">
        <v>63</v>
      </c>
      <c r="B1" s="92"/>
      <c r="C1" s="92"/>
      <c r="D1" s="92"/>
      <c r="E1" s="90"/>
      <c r="F1" s="90"/>
      <c r="G1" s="91" t="s">
        <v>129</v>
      </c>
      <c r="H1" s="92"/>
      <c r="I1" s="92"/>
      <c r="J1" s="92"/>
    </row>
    <row r="2" spans="1:10" x14ac:dyDescent="0.25">
      <c r="A2" s="92"/>
      <c r="B2" s="92"/>
      <c r="C2" s="92"/>
      <c r="D2" s="92"/>
      <c r="G2" s="91" t="s">
        <v>64</v>
      </c>
      <c r="H2" s="91" t="s">
        <v>64</v>
      </c>
      <c r="I2" s="91" t="s">
        <v>54</v>
      </c>
      <c r="J2" s="92"/>
    </row>
    <row r="3" spans="1:10" x14ac:dyDescent="0.25">
      <c r="A3" s="91" t="s">
        <v>64</v>
      </c>
      <c r="B3" s="91" t="s">
        <v>64</v>
      </c>
      <c r="C3" s="91" t="s">
        <v>54</v>
      </c>
      <c r="D3" s="92"/>
      <c r="E3" s="90"/>
      <c r="F3" s="90"/>
      <c r="G3" s="91" t="s">
        <v>64</v>
      </c>
      <c r="H3" s="91" t="s">
        <v>130</v>
      </c>
      <c r="I3" s="91" t="s">
        <v>131</v>
      </c>
      <c r="J3" s="91" t="s">
        <v>132</v>
      </c>
    </row>
    <row r="4" spans="1:10" x14ac:dyDescent="0.25">
      <c r="A4" s="91" t="s">
        <v>64</v>
      </c>
      <c r="B4" s="91" t="s">
        <v>65</v>
      </c>
      <c r="C4" s="91" t="s">
        <v>66</v>
      </c>
      <c r="D4" s="91" t="s">
        <v>67</v>
      </c>
      <c r="E4" s="90"/>
      <c r="F4" s="90"/>
      <c r="G4" s="91" t="s">
        <v>64</v>
      </c>
      <c r="H4" s="91">
        <v>2017</v>
      </c>
      <c r="I4" s="91">
        <v>2018</v>
      </c>
      <c r="J4" s="91">
        <v>2019</v>
      </c>
    </row>
    <row r="5" spans="1:10" x14ac:dyDescent="0.25">
      <c r="A5" s="91" t="s">
        <v>64</v>
      </c>
      <c r="B5" s="91">
        <v>2020</v>
      </c>
      <c r="C5" s="91">
        <v>2021</v>
      </c>
      <c r="D5" s="91">
        <v>2022</v>
      </c>
      <c r="E5" s="90"/>
      <c r="F5" s="90"/>
      <c r="G5" s="91" t="s">
        <v>64</v>
      </c>
      <c r="H5" s="91" t="s">
        <v>64</v>
      </c>
      <c r="I5" s="91" t="s">
        <v>64</v>
      </c>
      <c r="J5" s="98" t="s">
        <v>133</v>
      </c>
    </row>
    <row r="6" spans="1:10" x14ac:dyDescent="0.25">
      <c r="A6" s="92"/>
      <c r="B6" s="92"/>
      <c r="C6" s="92"/>
      <c r="D6" s="92"/>
      <c r="G6" s="91" t="s">
        <v>69</v>
      </c>
      <c r="H6" s="97">
        <v>4904030</v>
      </c>
      <c r="I6" s="97">
        <v>5575440</v>
      </c>
      <c r="J6" s="97">
        <v>5763087</v>
      </c>
    </row>
    <row r="7" spans="1:10" x14ac:dyDescent="0.25">
      <c r="A7" s="91" t="s">
        <v>64</v>
      </c>
      <c r="B7" s="92"/>
      <c r="C7" s="91" t="s">
        <v>64</v>
      </c>
      <c r="D7" s="98" t="s">
        <v>68</v>
      </c>
      <c r="F7" s="81"/>
      <c r="G7" s="91" t="s">
        <v>70</v>
      </c>
      <c r="H7" s="96">
        <v>2341301</v>
      </c>
      <c r="I7" s="96">
        <v>2577465</v>
      </c>
      <c r="J7" s="96">
        <v>2661714</v>
      </c>
    </row>
    <row r="8" spans="1:10" x14ac:dyDescent="0.25">
      <c r="A8" s="91" t="s">
        <v>69</v>
      </c>
      <c r="B8" s="93">
        <v>4452.6000000000004</v>
      </c>
      <c r="C8" s="93">
        <v>5763.9</v>
      </c>
      <c r="D8" s="93">
        <v>6168.6</v>
      </c>
      <c r="G8" s="91" t="s">
        <v>71</v>
      </c>
      <c r="H8" s="96">
        <v>2562729</v>
      </c>
      <c r="I8" s="96">
        <v>2997975</v>
      </c>
      <c r="J8" s="96">
        <v>3101373</v>
      </c>
    </row>
    <row r="9" spans="1:10" x14ac:dyDescent="0.25">
      <c r="A9" s="91" t="s">
        <v>70</v>
      </c>
      <c r="B9" s="94">
        <v>2099.6999999999998</v>
      </c>
      <c r="C9" s="94">
        <v>2417.1999999999998</v>
      </c>
      <c r="D9" s="94">
        <v>2619.8000000000002</v>
      </c>
      <c r="F9" s="80"/>
      <c r="G9" s="91" t="s">
        <v>72</v>
      </c>
      <c r="H9" s="96">
        <v>2082662</v>
      </c>
      <c r="I9" s="96">
        <v>2457564</v>
      </c>
      <c r="J9" s="96">
        <v>2534698</v>
      </c>
    </row>
    <row r="10" spans="1:10" x14ac:dyDescent="0.25">
      <c r="A10" s="91" t="s">
        <v>71</v>
      </c>
      <c r="B10" s="94">
        <v>2352.9</v>
      </c>
      <c r="C10" s="94">
        <v>3346.7</v>
      </c>
      <c r="D10" s="94">
        <v>3548.8</v>
      </c>
      <c r="G10" s="91" t="s">
        <v>13</v>
      </c>
      <c r="H10" s="96">
        <v>480067</v>
      </c>
      <c r="I10" s="96">
        <v>540411</v>
      </c>
      <c r="J10" s="96">
        <v>566675</v>
      </c>
    </row>
    <row r="11" spans="1:10" x14ac:dyDescent="0.25">
      <c r="A11" s="91" t="s">
        <v>72</v>
      </c>
      <c r="B11" s="94">
        <v>2347.6</v>
      </c>
      <c r="C11" s="94">
        <v>2652.2</v>
      </c>
      <c r="D11" s="94">
        <v>2893.2</v>
      </c>
      <c r="G11" s="91" t="s">
        <v>55</v>
      </c>
      <c r="H11" s="96">
        <v>-68603</v>
      </c>
      <c r="I11" s="96">
        <v>-55296</v>
      </c>
      <c r="J11" s="96">
        <v>-66248</v>
      </c>
    </row>
    <row r="12" spans="1:10" x14ac:dyDescent="0.25">
      <c r="A12" s="91" t="s">
        <v>73</v>
      </c>
      <c r="B12" s="94">
        <v>90.4</v>
      </c>
      <c r="C12" s="94">
        <v>8.3000000000000007</v>
      </c>
      <c r="D12" s="94">
        <v>9.1</v>
      </c>
      <c r="G12" s="91" t="s">
        <v>134</v>
      </c>
      <c r="H12" s="92"/>
      <c r="I12" s="92"/>
      <c r="J12" s="92"/>
    </row>
    <row r="13" spans="1:10" x14ac:dyDescent="0.25">
      <c r="A13" s="91" t="s">
        <v>74</v>
      </c>
      <c r="B13" s="94">
        <v>-85.1</v>
      </c>
      <c r="C13" s="94">
        <v>686.2</v>
      </c>
      <c r="D13" s="94">
        <v>646.5</v>
      </c>
      <c r="G13" s="91" t="s">
        <v>135</v>
      </c>
      <c r="H13" s="95">
        <v>0</v>
      </c>
      <c r="I13" s="95">
        <v>0</v>
      </c>
      <c r="J13" s="96">
        <v>-24860</v>
      </c>
    </row>
    <row r="14" spans="1:10" x14ac:dyDescent="0.25">
      <c r="A14" s="91" t="s">
        <v>55</v>
      </c>
      <c r="B14" s="94">
        <v>-82.2</v>
      </c>
      <c r="C14" s="94">
        <v>-72.900000000000006</v>
      </c>
      <c r="D14" s="94">
        <v>-25.7</v>
      </c>
      <c r="G14" s="91" t="s">
        <v>75</v>
      </c>
      <c r="H14" s="96">
        <v>-22793</v>
      </c>
      <c r="I14" s="95">
        <v>0</v>
      </c>
      <c r="J14" s="95">
        <v>0</v>
      </c>
    </row>
    <row r="15" spans="1:10" x14ac:dyDescent="0.25">
      <c r="A15" s="92"/>
      <c r="B15" s="92"/>
      <c r="C15" s="92"/>
      <c r="D15" s="92"/>
      <c r="G15" s="91" t="s">
        <v>76</v>
      </c>
      <c r="H15" s="96">
        <v>-39890</v>
      </c>
      <c r="I15" s="96">
        <v>14907</v>
      </c>
      <c r="J15" s="96">
        <v>2017</v>
      </c>
    </row>
    <row r="16" spans="1:10" x14ac:dyDescent="0.25">
      <c r="A16" s="91" t="s">
        <v>75</v>
      </c>
      <c r="B16" s="95">
        <v>0</v>
      </c>
      <c r="C16" s="94">
        <v>-36.5</v>
      </c>
      <c r="D16" s="95">
        <v>0</v>
      </c>
      <c r="G16" s="91" t="s">
        <v>136</v>
      </c>
      <c r="H16" s="96">
        <v>348781</v>
      </c>
      <c r="I16" s="96">
        <v>500022</v>
      </c>
      <c r="J16" s="96">
        <v>477584</v>
      </c>
    </row>
    <row r="17" spans="1:10" x14ac:dyDescent="0.25">
      <c r="A17" s="91" t="s">
        <v>76</v>
      </c>
      <c r="B17" s="94">
        <v>-22.4</v>
      </c>
      <c r="C17" s="94">
        <v>3.4</v>
      </c>
      <c r="D17" s="94">
        <v>28.8</v>
      </c>
      <c r="G17" s="91" t="s">
        <v>56</v>
      </c>
      <c r="H17" s="96">
        <v>64225</v>
      </c>
      <c r="I17" s="96">
        <v>214778</v>
      </c>
      <c r="J17" s="96">
        <v>82604</v>
      </c>
    </row>
    <row r="18" spans="1:10" x14ac:dyDescent="0.25">
      <c r="A18" s="91" t="s">
        <v>77</v>
      </c>
      <c r="B18" s="94">
        <v>-189.7</v>
      </c>
      <c r="C18" s="94">
        <v>580.20000000000005</v>
      </c>
      <c r="D18" s="94">
        <v>649.6</v>
      </c>
      <c r="G18" s="91" t="s">
        <v>24</v>
      </c>
      <c r="H18" s="96">
        <v>284556</v>
      </c>
      <c r="I18" s="96">
        <v>285244</v>
      </c>
      <c r="J18" s="96">
        <v>394980</v>
      </c>
    </row>
    <row r="19" spans="1:10" x14ac:dyDescent="0.25">
      <c r="A19" s="91" t="s">
        <v>78</v>
      </c>
      <c r="B19" s="94">
        <v>-62.6</v>
      </c>
      <c r="C19" s="94">
        <v>26.7</v>
      </c>
      <c r="D19" s="94">
        <v>80.5</v>
      </c>
      <c r="G19" s="91" t="s">
        <v>137</v>
      </c>
      <c r="H19" s="92"/>
      <c r="I19" s="92"/>
      <c r="J19" s="92"/>
    </row>
    <row r="20" spans="1:10" x14ac:dyDescent="0.25">
      <c r="A20" s="91" t="s">
        <v>79</v>
      </c>
      <c r="B20" s="93">
        <v>-127.1</v>
      </c>
      <c r="C20" s="93">
        <v>553.5</v>
      </c>
      <c r="D20" s="93">
        <v>569.1</v>
      </c>
      <c r="G20" s="91" t="s">
        <v>138</v>
      </c>
      <c r="H20" s="96">
        <v>-3153</v>
      </c>
      <c r="I20" s="96">
        <v>-2102</v>
      </c>
      <c r="J20" s="96">
        <v>-368</v>
      </c>
    </row>
    <row r="21" spans="1:10" x14ac:dyDescent="0.25">
      <c r="A21" s="92"/>
      <c r="B21" s="92"/>
      <c r="C21" s="92"/>
      <c r="D21" s="92"/>
      <c r="G21" s="91" t="s">
        <v>139</v>
      </c>
      <c r="H21" s="97">
        <v>281403</v>
      </c>
      <c r="I21" s="97">
        <v>283142</v>
      </c>
      <c r="J21" s="97">
        <v>394612</v>
      </c>
    </row>
    <row r="22" spans="1:10" x14ac:dyDescent="0.25">
      <c r="A22" s="91" t="s">
        <v>80</v>
      </c>
      <c r="B22" s="92"/>
      <c r="C22" s="92"/>
      <c r="D22" s="92"/>
      <c r="G22" s="91" t="s">
        <v>140</v>
      </c>
      <c r="H22" s="92"/>
      <c r="I22" s="92"/>
      <c r="J22" s="92"/>
    </row>
    <row r="23" spans="1:10" x14ac:dyDescent="0.25">
      <c r="A23" s="91" t="s">
        <v>81</v>
      </c>
      <c r="B23" s="92"/>
      <c r="C23" s="92"/>
      <c r="D23" s="92"/>
      <c r="G23" s="91" t="s">
        <v>81</v>
      </c>
      <c r="H23" s="92"/>
      <c r="I23" s="92"/>
      <c r="J23" s="92"/>
    </row>
    <row r="24" spans="1:10" x14ac:dyDescent="0.25">
      <c r="A24" s="91" t="s">
        <v>82</v>
      </c>
      <c r="B24" s="93">
        <v>-0.32</v>
      </c>
      <c r="C24" s="93">
        <v>1.38</v>
      </c>
      <c r="D24" s="93">
        <v>1.43</v>
      </c>
      <c r="F24" s="82"/>
      <c r="G24" s="91" t="s">
        <v>82</v>
      </c>
      <c r="H24" s="93">
        <v>0.75</v>
      </c>
      <c r="I24" s="93">
        <v>0.75</v>
      </c>
      <c r="J24" s="93">
        <v>1.01</v>
      </c>
    </row>
    <row r="25" spans="1:10" x14ac:dyDescent="0.25">
      <c r="A25" s="91" t="s">
        <v>83</v>
      </c>
      <c r="B25" s="93">
        <v>-0.32</v>
      </c>
      <c r="C25" s="93">
        <v>1.35</v>
      </c>
      <c r="D25" s="93">
        <v>1.41</v>
      </c>
      <c r="G25" s="91" t="s">
        <v>83</v>
      </c>
      <c r="H25" s="93">
        <v>0.73</v>
      </c>
      <c r="I25" s="93">
        <v>0.73</v>
      </c>
      <c r="J25" s="93">
        <v>0.97</v>
      </c>
    </row>
    <row r="26" spans="1:10" x14ac:dyDescent="0.25">
      <c r="A26" s="91" t="s">
        <v>84</v>
      </c>
      <c r="B26" s="92"/>
      <c r="C26" s="92"/>
      <c r="D26" s="92"/>
      <c r="G26" s="91" t="s">
        <v>84</v>
      </c>
      <c r="H26" s="92"/>
      <c r="I26" s="92"/>
      <c r="J26" s="92"/>
    </row>
    <row r="27" spans="1:10" x14ac:dyDescent="0.25">
      <c r="A27" s="91" t="s">
        <v>82</v>
      </c>
      <c r="B27" s="96">
        <v>397315117</v>
      </c>
      <c r="C27" s="96">
        <v>401634760</v>
      </c>
      <c r="D27" s="96">
        <v>397341137</v>
      </c>
      <c r="G27" s="91" t="s">
        <v>82</v>
      </c>
      <c r="H27" s="96">
        <v>376177350</v>
      </c>
      <c r="I27" s="96">
        <v>377139847</v>
      </c>
      <c r="J27" s="96">
        <v>389082277</v>
      </c>
    </row>
    <row r="28" spans="1:10" x14ac:dyDescent="0.25">
      <c r="A28" s="91" t="s">
        <v>83</v>
      </c>
      <c r="B28" s="96">
        <v>397315117</v>
      </c>
      <c r="C28" s="96">
        <v>409778169</v>
      </c>
      <c r="D28" s="96">
        <v>403844782</v>
      </c>
      <c r="F28" s="81"/>
      <c r="G28" s="91" t="s">
        <v>83</v>
      </c>
      <c r="H28" s="96">
        <v>384338330</v>
      </c>
      <c r="I28" s="96">
        <v>388607361</v>
      </c>
      <c r="J28" s="96">
        <v>408365902</v>
      </c>
    </row>
    <row r="29" spans="1:10" x14ac:dyDescent="0.25">
      <c r="A29" s="83"/>
      <c r="C29" s="81"/>
      <c r="D29" s="83"/>
      <c r="F29" s="81"/>
      <c r="G29" s="83"/>
    </row>
  </sheetData>
  <sortState xmlns:xlrd2="http://schemas.microsoft.com/office/spreadsheetml/2017/richdata2" columnSort="1" ref="H4:J28">
    <sortCondition ref="H8:J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84"/>
  <sheetViews>
    <sheetView topLeftCell="A4" workbookViewId="0">
      <selection activeCell="F14" sqref="F14"/>
    </sheetView>
  </sheetViews>
  <sheetFormatPr defaultRowHeight="15" x14ac:dyDescent="0.25"/>
  <cols>
    <col min="1" max="1" width="46.140625" customWidth="1"/>
    <col min="2" max="4" width="12.140625" customWidth="1"/>
    <col min="5" max="5" width="25.85546875" customWidth="1"/>
    <col min="6" max="6" width="54.28515625" customWidth="1"/>
    <col min="7" max="9" width="18.140625" customWidth="1"/>
  </cols>
  <sheetData>
    <row r="1" spans="1:9" x14ac:dyDescent="0.25">
      <c r="A1" s="91" t="s">
        <v>85</v>
      </c>
      <c r="B1" s="92"/>
      <c r="C1" s="92"/>
      <c r="D1" s="92"/>
      <c r="F1" s="91" t="s">
        <v>85</v>
      </c>
      <c r="G1" s="92"/>
      <c r="H1" s="92"/>
      <c r="I1" s="92"/>
    </row>
    <row r="2" spans="1:9" x14ac:dyDescent="0.25">
      <c r="A2" s="92"/>
      <c r="B2" s="92"/>
      <c r="C2" s="92"/>
      <c r="D2" s="92"/>
      <c r="F2" s="91" t="s">
        <v>64</v>
      </c>
      <c r="G2" s="91" t="s">
        <v>64</v>
      </c>
      <c r="H2" s="91" t="s">
        <v>54</v>
      </c>
      <c r="I2" s="92"/>
    </row>
    <row r="3" spans="1:9" x14ac:dyDescent="0.25">
      <c r="A3" s="91" t="s">
        <v>64</v>
      </c>
      <c r="B3" s="91" t="s">
        <v>64</v>
      </c>
      <c r="C3" s="91" t="s">
        <v>54</v>
      </c>
      <c r="D3" s="92"/>
      <c r="F3" s="91" t="s">
        <v>64</v>
      </c>
      <c r="G3" s="91" t="s">
        <v>130</v>
      </c>
      <c r="H3" s="91" t="s">
        <v>131</v>
      </c>
      <c r="I3" s="91" t="s">
        <v>132</v>
      </c>
    </row>
    <row r="4" spans="1:9" x14ac:dyDescent="0.25">
      <c r="A4" s="91" t="s">
        <v>64</v>
      </c>
      <c r="B4" s="91" t="s">
        <v>65</v>
      </c>
      <c r="C4" s="91" t="s">
        <v>66</v>
      </c>
      <c r="D4" s="91" t="s">
        <v>67</v>
      </c>
      <c r="F4" s="91" t="s">
        <v>64</v>
      </c>
      <c r="G4" s="91">
        <v>2017</v>
      </c>
      <c r="H4" s="91">
        <v>2018</v>
      </c>
      <c r="I4" s="91">
        <v>2019</v>
      </c>
    </row>
    <row r="5" spans="1:9" x14ac:dyDescent="0.25">
      <c r="A5" s="91" t="s">
        <v>64</v>
      </c>
      <c r="B5" s="91">
        <v>2020</v>
      </c>
      <c r="C5" s="91">
        <v>2021</v>
      </c>
      <c r="D5" s="91">
        <v>2022</v>
      </c>
      <c r="F5" s="91" t="s">
        <v>64</v>
      </c>
      <c r="G5" s="92"/>
      <c r="H5" s="91" t="s">
        <v>141</v>
      </c>
      <c r="I5" s="91" t="s">
        <v>64</v>
      </c>
    </row>
    <row r="6" spans="1:9" x14ac:dyDescent="0.25">
      <c r="A6" s="92"/>
      <c r="B6" s="92"/>
      <c r="C6" s="92"/>
      <c r="D6" s="92"/>
      <c r="F6" s="91" t="s">
        <v>57</v>
      </c>
      <c r="G6" s="92"/>
      <c r="H6" s="92"/>
      <c r="I6" s="92"/>
    </row>
    <row r="7" spans="1:9" x14ac:dyDescent="0.25">
      <c r="A7" s="91" t="s">
        <v>64</v>
      </c>
      <c r="B7" s="92"/>
      <c r="C7" s="91" t="s">
        <v>86</v>
      </c>
      <c r="D7" s="91" t="s">
        <v>64</v>
      </c>
      <c r="F7" s="91" t="s">
        <v>24</v>
      </c>
      <c r="G7" s="97">
        <v>284556</v>
      </c>
      <c r="H7" s="97">
        <v>285244</v>
      </c>
      <c r="I7" s="97">
        <v>394980</v>
      </c>
    </row>
    <row r="8" spans="1:9" x14ac:dyDescent="0.25">
      <c r="A8" s="91" t="s">
        <v>57</v>
      </c>
      <c r="B8" s="92"/>
      <c r="C8" s="92"/>
      <c r="D8" s="92"/>
      <c r="F8" s="91" t="s">
        <v>142</v>
      </c>
      <c r="G8" s="92"/>
      <c r="H8" s="92"/>
      <c r="I8" s="92"/>
    </row>
    <row r="9" spans="1:9" x14ac:dyDescent="0.25">
      <c r="A9" s="91" t="s">
        <v>79</v>
      </c>
      <c r="B9" s="93">
        <v>-127.1</v>
      </c>
      <c r="C9" s="93">
        <v>553.5</v>
      </c>
      <c r="D9" s="93">
        <v>569.1</v>
      </c>
      <c r="F9" s="91" t="s">
        <v>88</v>
      </c>
      <c r="G9" s="92"/>
      <c r="H9" s="92"/>
      <c r="I9" s="92"/>
    </row>
    <row r="10" spans="1:9" x14ac:dyDescent="0.25">
      <c r="A10" s="91" t="s">
        <v>87</v>
      </c>
      <c r="B10" s="92"/>
      <c r="C10" s="92"/>
      <c r="D10" s="92"/>
      <c r="F10" s="91" t="s">
        <v>89</v>
      </c>
      <c r="G10" s="96">
        <v>117387</v>
      </c>
      <c r="H10" s="96">
        <v>120205</v>
      </c>
      <c r="I10" s="96">
        <v>123942</v>
      </c>
    </row>
    <row r="11" spans="1:9" x14ac:dyDescent="0.25">
      <c r="A11" s="91" t="s">
        <v>88</v>
      </c>
      <c r="B11" s="92"/>
      <c r="C11" s="92"/>
      <c r="D11" s="92"/>
      <c r="F11" s="91" t="s">
        <v>143</v>
      </c>
      <c r="G11" s="96">
        <v>24731</v>
      </c>
      <c r="H11" s="96">
        <v>-30804</v>
      </c>
      <c r="I11" s="96">
        <v>11721</v>
      </c>
    </row>
    <row r="12" spans="1:9" x14ac:dyDescent="0.25">
      <c r="A12" s="91" t="s">
        <v>89</v>
      </c>
      <c r="B12" s="94">
        <v>141.80000000000001</v>
      </c>
      <c r="C12" s="94">
        <v>143.19999999999999</v>
      </c>
      <c r="D12" s="94">
        <v>158.9</v>
      </c>
      <c r="F12" s="91" t="s">
        <v>144</v>
      </c>
      <c r="G12" s="92"/>
      <c r="H12" s="92"/>
      <c r="I12" s="92"/>
    </row>
    <row r="13" spans="1:9" x14ac:dyDescent="0.25">
      <c r="A13" s="91" t="s">
        <v>90</v>
      </c>
      <c r="B13" s="92"/>
      <c r="C13" s="92"/>
      <c r="D13" s="92"/>
      <c r="F13" s="91" t="s">
        <v>145</v>
      </c>
      <c r="G13" s="92"/>
      <c r="H13" s="92"/>
      <c r="I13" s="92"/>
    </row>
    <row r="14" spans="1:9" x14ac:dyDescent="0.25">
      <c r="A14" s="91" t="s">
        <v>91</v>
      </c>
      <c r="B14" s="94">
        <v>67</v>
      </c>
      <c r="C14" s="94">
        <v>21.9</v>
      </c>
      <c r="D14" s="94">
        <v>37.799999999999997</v>
      </c>
      <c r="F14" s="91" t="s">
        <v>146</v>
      </c>
      <c r="G14" s="96">
        <v>5773</v>
      </c>
      <c r="H14" s="96">
        <v>19974</v>
      </c>
      <c r="I14" s="96">
        <v>-12166</v>
      </c>
    </row>
    <row r="15" spans="1:9" x14ac:dyDescent="0.25">
      <c r="A15" s="92"/>
      <c r="B15" s="92"/>
      <c r="C15" s="92"/>
      <c r="D15" s="92"/>
      <c r="F15" s="91" t="s">
        <v>147</v>
      </c>
      <c r="G15" s="92"/>
      <c r="H15" s="92"/>
      <c r="I15" s="92"/>
    </row>
    <row r="16" spans="1:9" x14ac:dyDescent="0.25">
      <c r="A16" s="91" t="s">
        <v>58</v>
      </c>
      <c r="B16" s="94">
        <v>50.9</v>
      </c>
      <c r="C16" s="94">
        <v>60.1</v>
      </c>
      <c r="D16" s="94">
        <v>60.8</v>
      </c>
      <c r="F16" s="91" t="s">
        <v>148</v>
      </c>
      <c r="G16" s="92"/>
      <c r="H16" s="92"/>
      <c r="I16" s="92"/>
    </row>
    <row r="17" spans="1:9" x14ac:dyDescent="0.25">
      <c r="A17" s="91" t="s">
        <v>92</v>
      </c>
      <c r="B17" s="94">
        <v>-95.2</v>
      </c>
      <c r="C17" s="94">
        <v>-87.9</v>
      </c>
      <c r="D17" s="94">
        <v>-59.8</v>
      </c>
      <c r="F17" s="91" t="s">
        <v>149</v>
      </c>
      <c r="G17" s="96">
        <v>30125</v>
      </c>
      <c r="H17" s="96">
        <v>4336</v>
      </c>
      <c r="I17" s="96">
        <v>10248</v>
      </c>
    </row>
    <row r="18" spans="1:9" x14ac:dyDescent="0.25">
      <c r="A18" s="91" t="s">
        <v>75</v>
      </c>
      <c r="B18" s="95">
        <v>0</v>
      </c>
      <c r="C18" s="94">
        <v>36.4</v>
      </c>
      <c r="D18" s="95">
        <v>0</v>
      </c>
      <c r="F18" s="91" t="s">
        <v>150</v>
      </c>
      <c r="G18" s="92"/>
      <c r="H18" s="92"/>
      <c r="I18" s="92"/>
    </row>
    <row r="19" spans="1:9" x14ac:dyDescent="0.25">
      <c r="A19" s="91" t="s">
        <v>51</v>
      </c>
      <c r="B19" s="94">
        <v>49.6</v>
      </c>
      <c r="C19" s="94">
        <v>33.9</v>
      </c>
      <c r="D19" s="94">
        <v>11.6</v>
      </c>
      <c r="F19" s="91" t="s">
        <v>151</v>
      </c>
      <c r="G19" s="96">
        <v>22793</v>
      </c>
      <c r="H19" s="95">
        <v>0</v>
      </c>
      <c r="I19" s="95">
        <v>0</v>
      </c>
    </row>
    <row r="20" spans="1:9" x14ac:dyDescent="0.25">
      <c r="A20" s="92"/>
      <c r="B20" s="92"/>
      <c r="C20" s="92"/>
      <c r="D20" s="92"/>
      <c r="F20" s="91" t="s">
        <v>58</v>
      </c>
      <c r="G20" s="96">
        <v>25809</v>
      </c>
      <c r="H20" s="96">
        <v>18407</v>
      </c>
      <c r="I20" s="96">
        <v>55188</v>
      </c>
    </row>
    <row r="21" spans="1:9" x14ac:dyDescent="0.25">
      <c r="A21" s="91" t="s">
        <v>93</v>
      </c>
      <c r="B21" s="94">
        <v>382.6</v>
      </c>
      <c r="C21" s="94">
        <v>-23.8</v>
      </c>
      <c r="D21" s="94">
        <v>-550.29999999999995</v>
      </c>
      <c r="F21" s="91" t="s">
        <v>152</v>
      </c>
      <c r="G21" s="96">
        <v>-486</v>
      </c>
      <c r="H21" s="96">
        <v>134258</v>
      </c>
      <c r="I21" s="96">
        <v>-14963</v>
      </c>
    </row>
    <row r="22" spans="1:9" x14ac:dyDescent="0.25">
      <c r="A22" s="91" t="s">
        <v>94</v>
      </c>
      <c r="B22" s="94">
        <v>469.6</v>
      </c>
      <c r="C22" s="94">
        <v>737.3</v>
      </c>
      <c r="D22" s="94">
        <v>228.1</v>
      </c>
      <c r="F22" s="91" t="s">
        <v>51</v>
      </c>
      <c r="G22" s="96">
        <v>8005</v>
      </c>
      <c r="H22" s="96">
        <v>7395</v>
      </c>
      <c r="I22" s="96">
        <v>7034</v>
      </c>
    </row>
    <row r="23" spans="1:9" x14ac:dyDescent="0.25">
      <c r="A23" s="91" t="s">
        <v>59</v>
      </c>
      <c r="B23" s="92"/>
      <c r="C23" s="92"/>
      <c r="D23" s="92"/>
      <c r="F23" s="91" t="s">
        <v>153</v>
      </c>
      <c r="G23" s="92"/>
      <c r="H23" s="92"/>
      <c r="I23" s="92"/>
    </row>
    <row r="24" spans="1:9" x14ac:dyDescent="0.25">
      <c r="A24" s="91" t="s">
        <v>95</v>
      </c>
      <c r="B24" s="94">
        <v>-130.4</v>
      </c>
      <c r="C24" s="94">
        <v>-166.9</v>
      </c>
      <c r="D24" s="94">
        <v>-267.10000000000002</v>
      </c>
      <c r="F24" s="91" t="s">
        <v>154</v>
      </c>
      <c r="G24" s="96">
        <v>3981</v>
      </c>
      <c r="H24" s="96">
        <v>-60474</v>
      </c>
      <c r="I24" s="96">
        <v>-82344</v>
      </c>
    </row>
    <row r="25" spans="1:9" x14ac:dyDescent="0.25">
      <c r="A25" s="91" t="s">
        <v>96</v>
      </c>
      <c r="B25" s="94">
        <v>-54.6</v>
      </c>
      <c r="C25" s="94">
        <v>-390.9</v>
      </c>
      <c r="D25" s="95">
        <v>0</v>
      </c>
      <c r="F25" s="91" t="s">
        <v>155</v>
      </c>
      <c r="G25" s="96">
        <v>-14409</v>
      </c>
      <c r="H25" s="96">
        <v>-147389</v>
      </c>
      <c r="I25" s="96">
        <v>-22434</v>
      </c>
    </row>
    <row r="26" spans="1:9" x14ac:dyDescent="0.25">
      <c r="A26" s="91" t="s">
        <v>97</v>
      </c>
      <c r="B26" s="92"/>
      <c r="C26" s="92"/>
      <c r="D26" s="92"/>
      <c r="F26" s="91" t="s">
        <v>156</v>
      </c>
      <c r="G26" s="96">
        <v>1828</v>
      </c>
      <c r="H26" s="96">
        <v>-30870</v>
      </c>
      <c r="I26" s="96">
        <v>-22102</v>
      </c>
    </row>
    <row r="27" spans="1:9" x14ac:dyDescent="0.25">
      <c r="A27" s="91" t="s">
        <v>98</v>
      </c>
      <c r="B27" s="94">
        <v>12.5</v>
      </c>
      <c r="C27" s="94">
        <v>-17.899999999999999</v>
      </c>
      <c r="D27" s="94">
        <v>12.4</v>
      </c>
      <c r="F27" s="91" t="s">
        <v>157</v>
      </c>
      <c r="G27" s="96">
        <v>-6862</v>
      </c>
      <c r="H27" s="96">
        <v>-3189</v>
      </c>
      <c r="I27" s="96">
        <v>-21662</v>
      </c>
    </row>
    <row r="28" spans="1:9" x14ac:dyDescent="0.25">
      <c r="A28" s="91" t="s">
        <v>99</v>
      </c>
      <c r="B28" s="94">
        <v>-109.6</v>
      </c>
      <c r="C28" s="94">
        <v>-123</v>
      </c>
      <c r="D28" s="94">
        <v>-72.8</v>
      </c>
      <c r="F28" s="91" t="s">
        <v>158</v>
      </c>
      <c r="G28" s="96">
        <v>35714</v>
      </c>
      <c r="H28" s="96">
        <v>161039</v>
      </c>
      <c r="I28" s="96">
        <v>18054</v>
      </c>
    </row>
    <row r="29" spans="1:9" x14ac:dyDescent="0.25">
      <c r="A29" s="91" t="s">
        <v>100</v>
      </c>
      <c r="B29" s="92"/>
      <c r="C29" s="92"/>
      <c r="D29" s="92"/>
      <c r="F29" s="91" t="s">
        <v>159</v>
      </c>
      <c r="G29" s="96">
        <v>-4274</v>
      </c>
      <c r="H29" s="96">
        <v>-420</v>
      </c>
      <c r="I29" s="96">
        <v>-256</v>
      </c>
    </row>
    <row r="30" spans="1:9" x14ac:dyDescent="0.25">
      <c r="A30" s="91" t="s">
        <v>101</v>
      </c>
      <c r="B30" s="94">
        <v>93.5</v>
      </c>
      <c r="C30" s="94">
        <v>126.9</v>
      </c>
      <c r="D30" s="94">
        <v>93</v>
      </c>
      <c r="F30" s="91" t="s">
        <v>160</v>
      </c>
      <c r="G30" s="96">
        <v>2478</v>
      </c>
      <c r="H30" s="96">
        <v>-8590</v>
      </c>
      <c r="I30" s="96">
        <v>9352</v>
      </c>
    </row>
    <row r="31" spans="1:9" x14ac:dyDescent="0.25">
      <c r="A31" s="91" t="s">
        <v>102</v>
      </c>
      <c r="B31" s="95">
        <v>0</v>
      </c>
      <c r="C31" s="95">
        <v>0</v>
      </c>
      <c r="D31" s="94">
        <v>-1.2</v>
      </c>
      <c r="F31" s="91" t="s">
        <v>161</v>
      </c>
      <c r="G31" s="92"/>
      <c r="H31" s="92"/>
      <c r="I31" s="92"/>
    </row>
    <row r="32" spans="1:9" x14ac:dyDescent="0.25">
      <c r="A32" s="91" t="s">
        <v>103</v>
      </c>
      <c r="B32" s="94">
        <v>-188.6</v>
      </c>
      <c r="C32" s="94">
        <v>-571.79999999999995</v>
      </c>
      <c r="D32" s="94">
        <v>-235.7</v>
      </c>
      <c r="F32" s="91" t="s">
        <v>162</v>
      </c>
      <c r="G32" s="96">
        <v>-9408</v>
      </c>
      <c r="H32" s="96">
        <v>-44887</v>
      </c>
      <c r="I32" s="96">
        <v>-55363</v>
      </c>
    </row>
    <row r="33" spans="1:9" x14ac:dyDescent="0.25">
      <c r="A33" s="91" t="s">
        <v>60</v>
      </c>
      <c r="B33" s="92"/>
      <c r="C33" s="92"/>
      <c r="D33" s="92"/>
      <c r="F33" s="91" t="s">
        <v>163</v>
      </c>
      <c r="G33" s="96">
        <v>-1800</v>
      </c>
      <c r="H33" s="96">
        <v>-3864</v>
      </c>
      <c r="I33" s="96">
        <v>12959</v>
      </c>
    </row>
    <row r="34" spans="1:9" x14ac:dyDescent="0.25">
      <c r="A34" s="91" t="s">
        <v>104</v>
      </c>
      <c r="B34" s="92"/>
      <c r="C34" s="92"/>
      <c r="D34" s="92"/>
      <c r="F34" s="91" t="s">
        <v>94</v>
      </c>
      <c r="G34" s="96">
        <v>525941</v>
      </c>
      <c r="H34" s="96">
        <v>420371</v>
      </c>
      <c r="I34" s="96">
        <v>412188</v>
      </c>
    </row>
    <row r="35" spans="1:9" x14ac:dyDescent="0.25">
      <c r="A35" s="91" t="s">
        <v>105</v>
      </c>
      <c r="B35" s="94">
        <v>496</v>
      </c>
      <c r="C35" s="94">
        <v>489.3</v>
      </c>
      <c r="D35" s="95">
        <v>0</v>
      </c>
      <c r="F35" s="91" t="s">
        <v>59</v>
      </c>
      <c r="G35" s="92"/>
      <c r="H35" s="92"/>
      <c r="I35" s="92"/>
    </row>
    <row r="36" spans="1:9" x14ac:dyDescent="0.25">
      <c r="A36" s="91" t="s">
        <v>106</v>
      </c>
      <c r="B36" s="95">
        <v>0</v>
      </c>
      <c r="C36" s="94">
        <v>-1023.3</v>
      </c>
      <c r="D36" s="95">
        <v>0</v>
      </c>
      <c r="F36" s="91" t="s">
        <v>95</v>
      </c>
      <c r="G36" s="96">
        <v>-118618</v>
      </c>
      <c r="H36" s="96">
        <v>-159413</v>
      </c>
      <c r="I36" s="96">
        <v>-175356</v>
      </c>
    </row>
    <row r="37" spans="1:9" x14ac:dyDescent="0.25">
      <c r="A37" s="91" t="s">
        <v>107</v>
      </c>
      <c r="B37" s="94">
        <v>300</v>
      </c>
      <c r="C37" s="95">
        <v>0</v>
      </c>
      <c r="D37" s="94">
        <v>404</v>
      </c>
      <c r="F37" s="91" t="s">
        <v>164</v>
      </c>
      <c r="G37" s="92"/>
      <c r="H37" s="92"/>
      <c r="I37" s="92"/>
    </row>
    <row r="38" spans="1:9" x14ac:dyDescent="0.25">
      <c r="A38" s="91" t="s">
        <v>108</v>
      </c>
      <c r="B38" s="94">
        <v>-300</v>
      </c>
      <c r="C38" s="95">
        <v>0</v>
      </c>
      <c r="D38" s="94">
        <v>-404</v>
      </c>
      <c r="F38" s="91" t="s">
        <v>145</v>
      </c>
      <c r="G38" s="92"/>
      <c r="H38" s="92"/>
      <c r="I38" s="92"/>
    </row>
    <row r="39" spans="1:9" x14ac:dyDescent="0.25">
      <c r="A39" s="92"/>
      <c r="B39" s="92"/>
      <c r="C39" s="92"/>
      <c r="D39" s="92"/>
      <c r="F39" s="91" t="s">
        <v>146</v>
      </c>
      <c r="G39" s="96">
        <v>-5773</v>
      </c>
      <c r="H39" s="96">
        <v>-19974</v>
      </c>
      <c r="I39" s="96">
        <v>12166</v>
      </c>
    </row>
    <row r="40" spans="1:9" x14ac:dyDescent="0.25">
      <c r="A40" s="91" t="s">
        <v>109</v>
      </c>
      <c r="B40" s="92"/>
      <c r="C40" s="92"/>
      <c r="D40" s="92"/>
      <c r="F40" s="91" t="s">
        <v>99</v>
      </c>
      <c r="G40" s="95">
        <v>0</v>
      </c>
      <c r="H40" s="95">
        <v>0</v>
      </c>
      <c r="I40" s="96">
        <v>-114247</v>
      </c>
    </row>
    <row r="41" spans="1:9" x14ac:dyDescent="0.25">
      <c r="A41" s="91" t="s">
        <v>110</v>
      </c>
      <c r="B41" s="94">
        <v>10</v>
      </c>
      <c r="C41" s="94">
        <v>-12.2</v>
      </c>
      <c r="D41" s="94">
        <v>7.4</v>
      </c>
      <c r="F41" s="91" t="s">
        <v>165</v>
      </c>
      <c r="G41" s="92"/>
      <c r="H41" s="92"/>
      <c r="I41" s="92"/>
    </row>
    <row r="42" spans="1:9" x14ac:dyDescent="0.25">
      <c r="A42" s="92"/>
      <c r="B42" s="92"/>
      <c r="C42" s="92"/>
      <c r="D42" s="92"/>
      <c r="F42" s="91" t="s">
        <v>166</v>
      </c>
      <c r="G42" s="95">
        <v>0</v>
      </c>
      <c r="H42" s="95">
        <v>0</v>
      </c>
      <c r="I42" s="96">
        <v>34094</v>
      </c>
    </row>
    <row r="43" spans="1:9" x14ac:dyDescent="0.25">
      <c r="A43" s="91" t="s">
        <v>111</v>
      </c>
      <c r="B43" s="94">
        <v>-56.2</v>
      </c>
      <c r="C43" s="94">
        <v>-85.9</v>
      </c>
      <c r="D43" s="94">
        <v>-175.7</v>
      </c>
      <c r="F43" s="91" t="s">
        <v>103</v>
      </c>
      <c r="G43" s="96">
        <v>-124391</v>
      </c>
      <c r="H43" s="96">
        <v>-179387</v>
      </c>
      <c r="I43" s="96">
        <v>-243343</v>
      </c>
    </row>
    <row r="44" spans="1:9" x14ac:dyDescent="0.25">
      <c r="A44" s="91" t="s">
        <v>112</v>
      </c>
      <c r="B44" s="94">
        <v>-90.6</v>
      </c>
      <c r="C44" s="94">
        <v>-109.3</v>
      </c>
      <c r="D44" s="94">
        <v>-29</v>
      </c>
      <c r="F44" s="91" t="s">
        <v>60</v>
      </c>
      <c r="G44" s="92"/>
      <c r="H44" s="92"/>
      <c r="I44" s="92"/>
    </row>
    <row r="45" spans="1:9" x14ac:dyDescent="0.25">
      <c r="A45" s="92"/>
      <c r="B45" s="92"/>
      <c r="C45" s="92"/>
      <c r="D45" s="92"/>
      <c r="F45" s="91" t="s">
        <v>167</v>
      </c>
      <c r="G45" s="96">
        <v>502835</v>
      </c>
      <c r="H45" s="95">
        <v>0</v>
      </c>
      <c r="I45" s="95">
        <v>0</v>
      </c>
    </row>
    <row r="46" spans="1:9" x14ac:dyDescent="0.25">
      <c r="A46" s="91" t="s">
        <v>113</v>
      </c>
      <c r="B46" s="94">
        <v>-63.6</v>
      </c>
      <c r="C46" s="94">
        <v>-104.4</v>
      </c>
      <c r="D46" s="94">
        <v>-174.3</v>
      </c>
      <c r="F46" s="91" t="s">
        <v>61</v>
      </c>
      <c r="G46" s="96">
        <v>-525000</v>
      </c>
      <c r="H46" s="95">
        <v>0</v>
      </c>
      <c r="I46" s="95">
        <v>0</v>
      </c>
    </row>
    <row r="47" spans="1:9" x14ac:dyDescent="0.25">
      <c r="A47" s="91" t="s">
        <v>114</v>
      </c>
      <c r="B47" s="94">
        <v>-9.6</v>
      </c>
      <c r="C47" s="94">
        <v>4.9000000000000004</v>
      </c>
      <c r="D47" s="94">
        <v>6.2</v>
      </c>
      <c r="F47" s="91" t="s">
        <v>168</v>
      </c>
      <c r="G47" s="96">
        <v>35333</v>
      </c>
      <c r="H47" s="96">
        <v>31929</v>
      </c>
      <c r="I47" s="96">
        <v>39175</v>
      </c>
    </row>
    <row r="48" spans="1:9" x14ac:dyDescent="0.25">
      <c r="A48" s="91" t="s">
        <v>115</v>
      </c>
      <c r="B48" s="94">
        <v>286</v>
      </c>
      <c r="C48" s="94">
        <v>-840.9</v>
      </c>
      <c r="D48" s="94">
        <v>-365.4</v>
      </c>
      <c r="F48" s="91" t="s">
        <v>169</v>
      </c>
      <c r="G48" s="96">
        <v>-29764</v>
      </c>
      <c r="H48" s="96">
        <v>-28230</v>
      </c>
      <c r="I48" s="96">
        <v>-53025</v>
      </c>
    </row>
    <row r="49" spans="1:9" x14ac:dyDescent="0.25">
      <c r="A49" s="91" t="s">
        <v>62</v>
      </c>
      <c r="B49" s="92"/>
      <c r="C49" s="92"/>
      <c r="D49" s="92"/>
      <c r="F49" s="91" t="s">
        <v>170</v>
      </c>
      <c r="G49" s="96">
        <v>-6231</v>
      </c>
      <c r="H49" s="96">
        <v>-4977</v>
      </c>
      <c r="I49" s="96">
        <v>-9418</v>
      </c>
    </row>
    <row r="50" spans="1:9" x14ac:dyDescent="0.25">
      <c r="A50" s="91" t="s">
        <v>116</v>
      </c>
      <c r="B50" s="94">
        <v>-4.2</v>
      </c>
      <c r="C50" s="94">
        <v>-11.6</v>
      </c>
      <c r="D50" s="94">
        <v>-7.6</v>
      </c>
      <c r="F50" s="91" t="s">
        <v>171</v>
      </c>
      <c r="G50" s="96">
        <v>-21902</v>
      </c>
      <c r="H50" s="95">
        <v>0</v>
      </c>
      <c r="I50" s="95">
        <v>0</v>
      </c>
    </row>
    <row r="51" spans="1:9" x14ac:dyDescent="0.25">
      <c r="A51" s="91" t="s">
        <v>117</v>
      </c>
      <c r="B51" s="92"/>
      <c r="C51" s="92"/>
      <c r="D51" s="92"/>
      <c r="F51" s="91" t="s">
        <v>172</v>
      </c>
      <c r="G51" s="96">
        <v>-10366</v>
      </c>
      <c r="H51" s="95">
        <v>0</v>
      </c>
      <c r="I51" s="95">
        <v>0</v>
      </c>
    </row>
    <row r="52" spans="1:9" x14ac:dyDescent="0.25">
      <c r="A52" s="91" t="s">
        <v>118</v>
      </c>
      <c r="B52" s="94">
        <v>562.79999999999995</v>
      </c>
      <c r="C52" s="94">
        <v>-687</v>
      </c>
      <c r="D52" s="94">
        <v>-380.6</v>
      </c>
      <c r="F52" s="91" t="s">
        <v>173</v>
      </c>
      <c r="G52" s="95">
        <v>0</v>
      </c>
      <c r="H52" s="95">
        <v>0</v>
      </c>
      <c r="I52" s="96">
        <v>254329</v>
      </c>
    </row>
    <row r="53" spans="1:9" x14ac:dyDescent="0.25">
      <c r="A53" s="91" t="s">
        <v>119</v>
      </c>
      <c r="B53" s="94">
        <v>934.8</v>
      </c>
      <c r="C53" s="94">
        <v>1497.6</v>
      </c>
      <c r="D53" s="94">
        <v>810.6</v>
      </c>
      <c r="F53" s="91" t="s">
        <v>174</v>
      </c>
      <c r="G53" s="92"/>
      <c r="H53" s="92"/>
      <c r="I53" s="92"/>
    </row>
    <row r="54" spans="1:9" x14ac:dyDescent="0.25">
      <c r="A54" s="91" t="s">
        <v>120</v>
      </c>
      <c r="B54" s="94">
        <v>1497.6</v>
      </c>
      <c r="C54" s="94">
        <v>810.6</v>
      </c>
      <c r="D54" s="94">
        <v>430</v>
      </c>
      <c r="F54" s="91" t="s">
        <v>175</v>
      </c>
      <c r="G54" s="95">
        <v>0</v>
      </c>
      <c r="H54" s="95">
        <v>0</v>
      </c>
      <c r="I54" s="96">
        <v>-19746</v>
      </c>
    </row>
    <row r="55" spans="1:9" x14ac:dyDescent="0.25">
      <c r="A55" s="91" t="s">
        <v>121</v>
      </c>
      <c r="B55" s="94">
        <v>-0.4</v>
      </c>
      <c r="C55" s="94">
        <v>-0.3</v>
      </c>
      <c r="D55" s="94">
        <v>-0.4</v>
      </c>
      <c r="F55" s="91" t="s">
        <v>176</v>
      </c>
      <c r="G55" s="92"/>
      <c r="H55" s="92"/>
      <c r="I55" s="92"/>
    </row>
    <row r="56" spans="1:9" x14ac:dyDescent="0.25">
      <c r="A56" s="91" t="s">
        <v>122</v>
      </c>
      <c r="B56" s="93">
        <v>1497.2</v>
      </c>
      <c r="C56" s="93">
        <v>810.3</v>
      </c>
      <c r="D56" s="93">
        <v>429.6</v>
      </c>
      <c r="F56" s="91" t="s">
        <v>177</v>
      </c>
      <c r="G56" s="95">
        <v>0</v>
      </c>
      <c r="H56" s="95">
        <v>0</v>
      </c>
      <c r="I56" s="96">
        <v>2062</v>
      </c>
    </row>
    <row r="57" spans="1:9" x14ac:dyDescent="0.25">
      <c r="A57" s="92"/>
      <c r="B57" s="92"/>
      <c r="C57" s="92"/>
      <c r="D57" s="92"/>
      <c r="F57" s="91" t="s">
        <v>178</v>
      </c>
      <c r="G57" s="92"/>
      <c r="H57" s="92"/>
      <c r="I57" s="92"/>
    </row>
    <row r="58" spans="1:9" x14ac:dyDescent="0.25">
      <c r="A58" s="91" t="s">
        <v>123</v>
      </c>
      <c r="B58" s="92"/>
      <c r="C58" s="92"/>
      <c r="D58" s="92"/>
      <c r="F58" s="91" t="s">
        <v>179</v>
      </c>
      <c r="G58" s="92"/>
      <c r="H58" s="92"/>
      <c r="I58" s="92"/>
    </row>
    <row r="59" spans="1:9" x14ac:dyDescent="0.25">
      <c r="A59" s="91" t="s">
        <v>124</v>
      </c>
      <c r="B59" s="92"/>
      <c r="C59" s="92"/>
      <c r="D59" s="92"/>
      <c r="F59" s="91" t="s">
        <v>180</v>
      </c>
      <c r="G59" s="96">
        <v>-25102</v>
      </c>
      <c r="H59" s="96">
        <v>-56039</v>
      </c>
      <c r="I59" s="96">
        <v>-43982</v>
      </c>
    </row>
    <row r="60" spans="1:9" x14ac:dyDescent="0.25">
      <c r="A60" s="91" t="s">
        <v>125</v>
      </c>
      <c r="B60" s="93">
        <v>36</v>
      </c>
      <c r="C60" s="93">
        <v>72.3</v>
      </c>
      <c r="D60" s="93">
        <v>93.3</v>
      </c>
      <c r="F60" s="91" t="s">
        <v>113</v>
      </c>
      <c r="G60" s="96">
        <v>-70000</v>
      </c>
      <c r="H60" s="96">
        <v>-90000</v>
      </c>
      <c r="I60" s="96">
        <v>-113914</v>
      </c>
    </row>
    <row r="61" spans="1:9" x14ac:dyDescent="0.25">
      <c r="A61" s="92"/>
      <c r="B61" s="92"/>
      <c r="C61" s="92"/>
      <c r="D61" s="92"/>
      <c r="F61" s="91" t="s">
        <v>114</v>
      </c>
      <c r="G61" s="96">
        <v>-1632</v>
      </c>
      <c r="H61" s="96">
        <v>-1316</v>
      </c>
      <c r="I61" s="96">
        <v>-463</v>
      </c>
    </row>
    <row r="62" spans="1:9" x14ac:dyDescent="0.25">
      <c r="A62" s="91" t="s">
        <v>126</v>
      </c>
      <c r="B62" s="92"/>
      <c r="C62" s="92"/>
      <c r="D62" s="92"/>
      <c r="F62" s="91" t="s">
        <v>181</v>
      </c>
      <c r="G62" s="92"/>
      <c r="H62" s="92"/>
      <c r="I62" s="92"/>
    </row>
    <row r="63" spans="1:9" x14ac:dyDescent="0.25">
      <c r="A63" s="91" t="s">
        <v>127</v>
      </c>
      <c r="B63" s="93">
        <v>73.7</v>
      </c>
      <c r="C63" s="93">
        <v>54.4</v>
      </c>
      <c r="D63" s="93">
        <v>37.5</v>
      </c>
      <c r="F63" s="91" t="s">
        <v>182</v>
      </c>
      <c r="G63" s="96">
        <v>-151829</v>
      </c>
      <c r="H63" s="96">
        <v>-148633</v>
      </c>
      <c r="I63" s="96">
        <v>55018</v>
      </c>
    </row>
    <row r="64" spans="1:9" x14ac:dyDescent="0.25">
      <c r="A64" s="91" t="s">
        <v>128</v>
      </c>
      <c r="B64" s="94">
        <v>50.1</v>
      </c>
      <c r="C64" s="94">
        <v>109.6</v>
      </c>
      <c r="D64" s="94">
        <v>129.30000000000001</v>
      </c>
      <c r="F64" s="91" t="s">
        <v>183</v>
      </c>
      <c r="G64" s="92"/>
      <c r="H64" s="92"/>
      <c r="I64" s="92"/>
    </row>
    <row r="65" spans="6:9" x14ac:dyDescent="0.25">
      <c r="F65" s="91" t="s">
        <v>184</v>
      </c>
      <c r="G65" s="96">
        <v>8417</v>
      </c>
      <c r="H65" s="96">
        <v>-13344</v>
      </c>
      <c r="I65" s="96">
        <v>-2808</v>
      </c>
    </row>
    <row r="66" spans="6:9" x14ac:dyDescent="0.25">
      <c r="F66" s="91" t="s">
        <v>185</v>
      </c>
      <c r="G66" s="92"/>
      <c r="H66" s="92"/>
      <c r="I66" s="92"/>
    </row>
    <row r="67" spans="6:9" x14ac:dyDescent="0.25">
      <c r="F67" s="91" t="s">
        <v>118</v>
      </c>
      <c r="G67" s="96">
        <v>258138</v>
      </c>
      <c r="H67" s="96">
        <v>79007</v>
      </c>
      <c r="I67" s="96">
        <v>221055</v>
      </c>
    </row>
    <row r="68" spans="6:9" x14ac:dyDescent="0.25">
      <c r="F68" s="91" t="s">
        <v>186</v>
      </c>
      <c r="G68" s="92"/>
      <c r="H68" s="92"/>
      <c r="I68" s="92"/>
    </row>
    <row r="69" spans="6:9" x14ac:dyDescent="0.25">
      <c r="F69" s="91" t="s">
        <v>187</v>
      </c>
      <c r="G69" s="96">
        <v>376553</v>
      </c>
      <c r="H69" s="96">
        <v>634691</v>
      </c>
      <c r="I69" s="96">
        <v>713698</v>
      </c>
    </row>
    <row r="70" spans="6:9" x14ac:dyDescent="0.25">
      <c r="F70" s="91" t="s">
        <v>188</v>
      </c>
      <c r="G70" s="96">
        <v>634691</v>
      </c>
      <c r="H70" s="96">
        <v>713698</v>
      </c>
      <c r="I70" s="96">
        <v>934753</v>
      </c>
    </row>
    <row r="71" spans="6:9" x14ac:dyDescent="0.25">
      <c r="F71" s="91" t="s">
        <v>187</v>
      </c>
      <c r="G71" s="92"/>
      <c r="H71" s="92"/>
      <c r="I71" s="92"/>
    </row>
    <row r="72" spans="6:9" x14ac:dyDescent="0.25">
      <c r="F72" s="91" t="s">
        <v>121</v>
      </c>
      <c r="G72" s="96">
        <v>-1069</v>
      </c>
      <c r="H72" s="96">
        <v>-578</v>
      </c>
      <c r="I72" s="96">
        <v>-516</v>
      </c>
    </row>
    <row r="73" spans="6:9" x14ac:dyDescent="0.25">
      <c r="F73" s="91" t="s">
        <v>122</v>
      </c>
      <c r="G73" s="97">
        <v>633622</v>
      </c>
      <c r="H73" s="97">
        <v>713120</v>
      </c>
      <c r="I73" s="97">
        <v>934237</v>
      </c>
    </row>
    <row r="74" spans="6:9" x14ac:dyDescent="0.25">
      <c r="F74" s="92"/>
      <c r="G74" s="92"/>
      <c r="H74" s="92"/>
      <c r="I74" s="92"/>
    </row>
    <row r="75" spans="6:9" x14ac:dyDescent="0.25">
      <c r="F75" s="91" t="s">
        <v>123</v>
      </c>
      <c r="G75" s="92"/>
      <c r="H75" s="92"/>
      <c r="I75" s="92"/>
    </row>
    <row r="76" spans="6:9" x14ac:dyDescent="0.25">
      <c r="F76" s="91" t="s">
        <v>189</v>
      </c>
      <c r="G76" s="92"/>
      <c r="H76" s="92"/>
      <c r="I76" s="92"/>
    </row>
    <row r="77" spans="6:9" x14ac:dyDescent="0.25">
      <c r="F77" s="91" t="s">
        <v>190</v>
      </c>
      <c r="G77" s="97">
        <v>22664</v>
      </c>
      <c r="H77" s="97">
        <v>23099</v>
      </c>
      <c r="I77" s="97">
        <v>30512</v>
      </c>
    </row>
    <row r="78" spans="6:9" x14ac:dyDescent="0.25">
      <c r="F78" s="91" t="s">
        <v>191</v>
      </c>
      <c r="G78" s="92"/>
      <c r="H78" s="92"/>
      <c r="I78" s="92"/>
    </row>
    <row r="79" spans="6:9" x14ac:dyDescent="0.25">
      <c r="F79" s="91" t="s">
        <v>192</v>
      </c>
      <c r="G79" s="96">
        <v>19888</v>
      </c>
      <c r="H79" s="96">
        <v>2750</v>
      </c>
      <c r="I79" s="96">
        <v>10861</v>
      </c>
    </row>
    <row r="80" spans="6:9" x14ac:dyDescent="0.25">
      <c r="F80" s="92"/>
      <c r="G80" s="92"/>
      <c r="H80" s="92"/>
      <c r="I80" s="92"/>
    </row>
    <row r="81" spans="6:9" x14ac:dyDescent="0.25">
      <c r="F81" s="91" t="s">
        <v>126</v>
      </c>
      <c r="G81" s="92"/>
      <c r="H81" s="92"/>
      <c r="I81" s="92"/>
    </row>
    <row r="82" spans="6:9" x14ac:dyDescent="0.25">
      <c r="F82" s="91" t="s">
        <v>127</v>
      </c>
      <c r="G82" s="97">
        <v>52097</v>
      </c>
      <c r="H82" s="97">
        <v>51200</v>
      </c>
      <c r="I82" s="97">
        <v>54000</v>
      </c>
    </row>
    <row r="83" spans="6:9" x14ac:dyDescent="0.25">
      <c r="F83" s="91" t="s">
        <v>193</v>
      </c>
      <c r="G83" s="92"/>
      <c r="H83" s="92"/>
      <c r="I83" s="92"/>
    </row>
    <row r="84" spans="6:9" x14ac:dyDescent="0.25">
      <c r="F84" s="91" t="s">
        <v>194</v>
      </c>
      <c r="G84" s="96">
        <v>54602</v>
      </c>
      <c r="H84" s="96">
        <v>96277</v>
      </c>
      <c r="I84" s="96">
        <v>96540</v>
      </c>
    </row>
  </sheetData>
  <sortState xmlns:xlrd2="http://schemas.microsoft.com/office/spreadsheetml/2017/richdata2" columnSort="1" ref="G4:I84">
    <sortCondition ref="G4:I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5">
        <f>'LEVI DCF'!J37</f>
        <v>0.17549999999999999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5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6">
        <v>1.19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'LEVI DCF'!D64</f>
        <v>5751.42681662</v>
      </c>
      <c r="D12" s="2"/>
      <c r="E12" s="2" t="s">
        <v>33</v>
      </c>
      <c r="F12" s="2"/>
      <c r="G12" s="23">
        <f>'LEVI DCF'!D61</f>
        <v>1298.8000000000002</v>
      </c>
      <c r="H12" s="2"/>
      <c r="I12" s="2" t="s">
        <v>45</v>
      </c>
      <c r="J12" s="2"/>
      <c r="K12" s="23">
        <f>G12+C12</f>
        <v>7050.2268166200001</v>
      </c>
      <c r="L12" s="2"/>
    </row>
    <row r="13" spans="1:12" x14ac:dyDescent="0.25">
      <c r="A13" s="2" t="s">
        <v>46</v>
      </c>
      <c r="B13" s="2"/>
      <c r="C13" s="47">
        <f>C12/K12</f>
        <v>0.81577897650920295</v>
      </c>
      <c r="D13" s="2"/>
      <c r="E13" s="2" t="s">
        <v>47</v>
      </c>
      <c r="F13" s="2"/>
      <c r="G13" s="48">
        <f>G12/K12</f>
        <v>0.18422102349079703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9">
        <f>D7+D8*(D9)</f>
        <v>0.1084</v>
      </c>
      <c r="D14" s="2"/>
      <c r="E14" s="2" t="s">
        <v>49</v>
      </c>
      <c r="F14" s="2"/>
      <c r="G14" s="48">
        <v>0.05</v>
      </c>
      <c r="H14" s="2"/>
      <c r="I14" s="50" t="s">
        <v>1</v>
      </c>
      <c r="J14" s="51"/>
      <c r="K14" s="52">
        <f>C13*C14+G14*G13*(1-D6)</f>
        <v>9.6024952747005704E-2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LEVI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2023-06-26T17:33:25Z</dcterms:modified>
</cp:coreProperties>
</file>