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9065A0FF-5B14-41E9-ABC5-750DEECD9287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UAL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1" l="1"/>
  <c r="I31" i="1"/>
  <c r="I51" i="1"/>
  <c r="H51" i="1"/>
  <c r="I33" i="1"/>
  <c r="H33" i="1"/>
  <c r="H53" i="1"/>
  <c r="L62" i="1"/>
  <c r="L59" i="1"/>
  <c r="L60" i="1"/>
  <c r="E5" i="1"/>
  <c r="I49" i="1"/>
  <c r="P44" i="1"/>
  <c r="Q44" i="1"/>
  <c r="R44" i="1" s="1"/>
  <c r="O44" i="1"/>
  <c r="O17" i="1"/>
  <c r="P17" i="1"/>
  <c r="Q17" i="1" s="1"/>
  <c r="R17" i="1" s="1"/>
  <c r="N17" i="1"/>
  <c r="N20" i="1"/>
  <c r="O20" i="1"/>
  <c r="P20" i="1" s="1"/>
  <c r="Q20" i="1" s="1"/>
  <c r="R20" i="1" s="1"/>
  <c r="I43" i="1"/>
  <c r="J43" i="1"/>
  <c r="K43" i="1"/>
  <c r="L43" i="1"/>
  <c r="M43" i="1"/>
  <c r="I19" i="1"/>
  <c r="J19" i="1"/>
  <c r="K19" i="1"/>
  <c r="L19" i="1"/>
  <c r="M19" i="1"/>
  <c r="J11" i="1"/>
  <c r="K11" i="1"/>
  <c r="L11" i="1" s="1"/>
  <c r="M11" i="1" s="1"/>
  <c r="N11" i="1" s="1"/>
  <c r="O11" i="1" s="1"/>
  <c r="P11" i="1" s="1"/>
  <c r="Q11" i="1" s="1"/>
  <c r="R11" i="1" s="1"/>
  <c r="I11" i="1"/>
  <c r="D60" i="1"/>
  <c r="D59" i="1"/>
  <c r="D62" i="1"/>
  <c r="D63" i="1" s="1"/>
  <c r="C12" i="2" s="1"/>
  <c r="D23" i="1"/>
  <c r="E23" i="1"/>
  <c r="F23" i="1"/>
  <c r="G23" i="1"/>
  <c r="H23" i="1"/>
  <c r="C23" i="1"/>
  <c r="G46" i="1"/>
  <c r="H46" i="1"/>
  <c r="F46" i="1"/>
  <c r="D46" i="1"/>
  <c r="E46" i="1"/>
  <c r="C46" i="1"/>
  <c r="G43" i="1"/>
  <c r="H43" i="1"/>
  <c r="F43" i="1"/>
  <c r="D43" i="1"/>
  <c r="E43" i="1"/>
  <c r="C43" i="1"/>
  <c r="G36" i="1"/>
  <c r="H36" i="1"/>
  <c r="F36" i="1"/>
  <c r="D36" i="1"/>
  <c r="E36" i="1"/>
  <c r="C36" i="1"/>
  <c r="G28" i="1"/>
  <c r="H28" i="1"/>
  <c r="F28" i="1"/>
  <c r="D28" i="1"/>
  <c r="E28" i="1"/>
  <c r="C28" i="1"/>
  <c r="G22" i="1"/>
  <c r="H22" i="1"/>
  <c r="F22" i="1"/>
  <c r="D22" i="1"/>
  <c r="E22" i="1"/>
  <c r="C22" i="1"/>
  <c r="G19" i="1"/>
  <c r="G40" i="1" s="1"/>
  <c r="H19" i="1"/>
  <c r="H25" i="1" s="1"/>
  <c r="F19" i="1"/>
  <c r="F25" i="1" s="1"/>
  <c r="D19" i="1"/>
  <c r="D25" i="1" s="1"/>
  <c r="E19" i="1"/>
  <c r="E40" i="1" s="1"/>
  <c r="C19" i="1"/>
  <c r="C40" i="1" s="1"/>
  <c r="C14" i="1"/>
  <c r="D14" i="1"/>
  <c r="E14" i="1"/>
  <c r="F14" i="1"/>
  <c r="G14" i="1"/>
  <c r="H14" i="1"/>
  <c r="G11" i="1"/>
  <c r="G16" i="1" s="1"/>
  <c r="H11" i="1"/>
  <c r="F11" i="1"/>
  <c r="F16" i="1" s="1"/>
  <c r="F27" i="1" s="1"/>
  <c r="D11" i="1"/>
  <c r="E11" i="1"/>
  <c r="E16" i="1" s="1"/>
  <c r="C11" i="1"/>
  <c r="L63" i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Q19" i="1" l="1"/>
  <c r="O19" i="1"/>
  <c r="P43" i="1"/>
  <c r="N43" i="1"/>
  <c r="P19" i="1"/>
  <c r="N19" i="1"/>
  <c r="Q43" i="1"/>
  <c r="O43" i="1"/>
  <c r="E41" i="1"/>
  <c r="C25" i="1"/>
  <c r="G25" i="1"/>
  <c r="G27" i="1" s="1"/>
  <c r="E25" i="1"/>
  <c r="E27" i="1" s="1"/>
  <c r="E31" i="1" s="1"/>
  <c r="E51" i="1" s="1"/>
  <c r="H40" i="1"/>
  <c r="F40" i="1"/>
  <c r="F41" i="1" s="1"/>
  <c r="D40" i="1"/>
  <c r="C41" i="1"/>
  <c r="H16" i="1"/>
  <c r="H27" i="1" s="1"/>
  <c r="C16" i="1"/>
  <c r="C27" i="1" s="1"/>
  <c r="C31" i="1" s="1"/>
  <c r="C51" i="1" s="1"/>
  <c r="D16" i="1"/>
  <c r="E20" i="1"/>
  <c r="D47" i="1"/>
  <c r="F12" i="1"/>
  <c r="F20" i="1"/>
  <c r="C29" i="1"/>
  <c r="D29" i="1"/>
  <c r="H29" i="1"/>
  <c r="E29" i="1"/>
  <c r="F29" i="1"/>
  <c r="G29" i="1"/>
  <c r="C47" i="1"/>
  <c r="D41" i="1"/>
  <c r="F44" i="1"/>
  <c r="F47" i="1"/>
  <c r="G44" i="1"/>
  <c r="E47" i="1"/>
  <c r="G47" i="1"/>
  <c r="G41" i="1"/>
  <c r="G12" i="1"/>
  <c r="G20" i="1"/>
  <c r="D20" i="1"/>
  <c r="F31" i="1"/>
  <c r="F51" i="1" s="1"/>
  <c r="C20" i="1"/>
  <c r="D12" i="1"/>
  <c r="D44" i="1"/>
  <c r="H12" i="1"/>
  <c r="D17" i="1"/>
  <c r="F17" i="1"/>
  <c r="C17" i="1"/>
  <c r="H20" i="1"/>
  <c r="H41" i="1"/>
  <c r="C44" i="1"/>
  <c r="H44" i="1"/>
  <c r="H31" i="1"/>
  <c r="H47" i="1"/>
  <c r="E12" i="1"/>
  <c r="E44" i="1"/>
  <c r="K12" i="2"/>
  <c r="G13" i="2" s="1"/>
  <c r="G17" i="1"/>
  <c r="G31" i="1" l="1"/>
  <c r="G51" i="1" s="1"/>
  <c r="G33" i="1"/>
  <c r="G49" i="1" s="1"/>
  <c r="G53" i="1" s="1"/>
  <c r="D27" i="1"/>
  <c r="D31" i="1" s="1"/>
  <c r="D51" i="1" s="1"/>
  <c r="E17" i="1"/>
  <c r="E33" i="1"/>
  <c r="E49" i="1" s="1"/>
  <c r="E53" i="1" s="1"/>
  <c r="H17" i="1"/>
  <c r="C13" i="2"/>
  <c r="K14" i="2" s="1"/>
  <c r="F33" i="1"/>
  <c r="G34" i="1"/>
  <c r="G37" i="1" l="1"/>
  <c r="D33" i="1"/>
  <c r="D37" i="1" s="1"/>
  <c r="E34" i="1"/>
  <c r="E37" i="1"/>
  <c r="H34" i="1"/>
  <c r="F37" i="1"/>
  <c r="F49" i="1"/>
  <c r="F53" i="1" s="1"/>
  <c r="D49" i="1"/>
  <c r="D53" i="1" s="1"/>
  <c r="C33" i="1"/>
  <c r="C49" i="1" s="1"/>
  <c r="C53" i="1" s="1"/>
  <c r="D34" i="1"/>
  <c r="F34" i="1"/>
  <c r="H37" i="1"/>
  <c r="C37" i="1" l="1"/>
  <c r="C34" i="1"/>
  <c r="I22" i="1" l="1"/>
  <c r="J46" i="1" l="1"/>
  <c r="J53" i="1" s="1"/>
  <c r="J22" i="1"/>
  <c r="J28" i="1"/>
  <c r="J16" i="1"/>
  <c r="I46" i="1"/>
  <c r="I16" i="1"/>
  <c r="I28" i="1"/>
  <c r="J14" i="1" l="1"/>
  <c r="I14" i="1"/>
  <c r="I25" i="1"/>
  <c r="I27" i="1" s="1"/>
  <c r="I40" i="1"/>
  <c r="I41" i="1" s="1"/>
  <c r="K22" i="1"/>
  <c r="K14" i="1"/>
  <c r="K16" i="1"/>
  <c r="K28" i="1"/>
  <c r="K46" i="1"/>
  <c r="J40" i="1"/>
  <c r="J41" i="1" s="1"/>
  <c r="J25" i="1"/>
  <c r="J27" i="1" s="1"/>
  <c r="J31" i="1" l="1"/>
  <c r="J33" i="1"/>
  <c r="L46" i="1"/>
  <c r="L22" i="1"/>
  <c r="L28" i="1"/>
  <c r="L16" i="1"/>
  <c r="K25" i="1"/>
  <c r="K27" i="1" s="1"/>
  <c r="K40" i="1"/>
  <c r="K41" i="1" s="1"/>
  <c r="K31" i="1" l="1"/>
  <c r="K33" i="1"/>
  <c r="M28" i="1"/>
  <c r="M16" i="1"/>
  <c r="M46" i="1"/>
  <c r="M22" i="1"/>
  <c r="L40" i="1"/>
  <c r="L41" i="1" s="1"/>
  <c r="L25" i="1"/>
  <c r="L27" i="1" s="1"/>
  <c r="I34" i="1"/>
  <c r="I36" i="1"/>
  <c r="I53" i="1" s="1"/>
  <c r="I54" i="1" s="1"/>
  <c r="L14" i="1"/>
  <c r="J36" i="1"/>
  <c r="J51" i="1" s="1"/>
  <c r="J34" i="1"/>
  <c r="J49" i="1"/>
  <c r="J54" i="1" s="1"/>
  <c r="L31" i="1" l="1"/>
  <c r="L33" i="1"/>
  <c r="N46" i="1"/>
  <c r="N28" i="1"/>
  <c r="N22" i="1"/>
  <c r="N16" i="1"/>
  <c r="M14" i="1"/>
  <c r="M25" i="1"/>
  <c r="M27" i="1" s="1"/>
  <c r="M40" i="1"/>
  <c r="M41" i="1" s="1"/>
  <c r="K36" i="1"/>
  <c r="K51" i="1" s="1"/>
  <c r="K34" i="1"/>
  <c r="M31" i="1" l="1"/>
  <c r="M33" i="1"/>
  <c r="O22" i="1"/>
  <c r="O28" i="1"/>
  <c r="O16" i="1"/>
  <c r="O46" i="1"/>
  <c r="O14" i="1"/>
  <c r="N25" i="1"/>
  <c r="N27" i="1" s="1"/>
  <c r="N40" i="1"/>
  <c r="N41" i="1" s="1"/>
  <c r="K49" i="1"/>
  <c r="K53" i="1" s="1"/>
  <c r="K54" i="1" s="1"/>
  <c r="N14" i="1"/>
  <c r="L36" i="1"/>
  <c r="L51" i="1" s="1"/>
  <c r="L34" i="1"/>
  <c r="L49" i="1" l="1"/>
  <c r="L53" i="1" s="1"/>
  <c r="L54" i="1" s="1"/>
  <c r="N31" i="1"/>
  <c r="N33" i="1"/>
  <c r="P28" i="1"/>
  <c r="P46" i="1"/>
  <c r="P22" i="1"/>
  <c r="P16" i="1"/>
  <c r="P14" i="1" s="1"/>
  <c r="O25" i="1"/>
  <c r="O27" i="1" s="1"/>
  <c r="O40" i="1"/>
  <c r="O41" i="1" s="1"/>
  <c r="M34" i="1"/>
  <c r="M36" i="1"/>
  <c r="M51" i="1" s="1"/>
  <c r="O33" i="1" l="1"/>
  <c r="O31" i="1"/>
  <c r="M49" i="1"/>
  <c r="M53" i="1" s="1"/>
  <c r="M54" i="1" s="1"/>
  <c r="Q46" i="1"/>
  <c r="Q22" i="1"/>
  <c r="Q16" i="1"/>
  <c r="Q28" i="1"/>
  <c r="P25" i="1"/>
  <c r="P27" i="1" s="1"/>
  <c r="P40" i="1"/>
  <c r="P41" i="1" s="1"/>
  <c r="N36" i="1"/>
  <c r="N51" i="1" s="1"/>
  <c r="N34" i="1"/>
  <c r="N49" i="1" l="1"/>
  <c r="N53" i="1" s="1"/>
  <c r="N54" i="1" s="1"/>
  <c r="P33" i="1"/>
  <c r="P31" i="1"/>
  <c r="R19" i="1"/>
  <c r="R22" i="1"/>
  <c r="R16" i="1"/>
  <c r="R28" i="1"/>
  <c r="R46" i="1"/>
  <c r="Q14" i="1"/>
  <c r="O34" i="1"/>
  <c r="O36" i="1"/>
  <c r="O49" i="1" s="1"/>
  <c r="O53" i="1" s="1"/>
  <c r="O54" i="1" s="1"/>
  <c r="Q40" i="1"/>
  <c r="Q41" i="1" s="1"/>
  <c r="Q25" i="1"/>
  <c r="Q27" i="1" s="1"/>
  <c r="R43" i="1"/>
  <c r="O51" i="1"/>
  <c r="Q33" i="1" l="1"/>
  <c r="Q31" i="1"/>
  <c r="R14" i="1"/>
  <c r="R25" i="1"/>
  <c r="R27" i="1" s="1"/>
  <c r="R40" i="1"/>
  <c r="R41" i="1" s="1"/>
  <c r="P34" i="1"/>
  <c r="P36" i="1"/>
  <c r="P51" i="1" s="1"/>
  <c r="R31" i="1" l="1"/>
  <c r="R33" i="1"/>
  <c r="P49" i="1"/>
  <c r="P53" i="1" s="1"/>
  <c r="P54" i="1" s="1"/>
  <c r="Q34" i="1"/>
  <c r="Q36" i="1"/>
  <c r="Q49" i="1" s="1"/>
  <c r="Q53" i="1" s="1"/>
  <c r="Q54" i="1" s="1"/>
  <c r="Q51" i="1" l="1"/>
  <c r="R34" i="1"/>
  <c r="R36" i="1"/>
  <c r="R49" i="1" s="1"/>
  <c r="R53" i="1" s="1"/>
  <c r="R51" i="1" l="1"/>
  <c r="R54" i="1"/>
  <c r="C56" i="1"/>
  <c r="C57" i="1" s="1"/>
  <c r="S51" i="1" l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F56" i="1" s="1"/>
  <c r="H59" i="1" s="1"/>
  <c r="H61" i="1" s="1"/>
  <c r="H64" i="1" s="1"/>
  <c r="G59" i="1"/>
  <c r="G61" i="1" s="1"/>
  <c r="G64" i="1" s="1"/>
  <c r="E64" i="1" l="1"/>
  <c r="L58" i="1" s="1"/>
  <c r="J6" i="1" l="1"/>
  <c r="N5" i="1" s="1"/>
</calcChain>
</file>

<file path=xl/sharedStrings.xml><?xml version="1.0" encoding="utf-8"?>
<sst xmlns="http://schemas.openxmlformats.org/spreadsheetml/2006/main" count="247" uniqueCount="157">
  <si>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</si>
  <si>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</si>
  <si>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</si>
  <si>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</si>
  <si>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</si>
  <si>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</si>
  <si>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</si>
  <si>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</si>
  <si>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</si>
  <si>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</si>
  <si>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</si>
  <si>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</si>
  <si>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</si>
  <si>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</si>
  <si>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</si>
  <si>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</si>
  <si>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</si>
  <si>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</si>
  <si>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</si>
  <si>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</si>
  <si>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</si>
  <si>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</si>
  <si>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</si>
  <si>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</si>
  <si>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</si>
  <si>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</si>
  <si>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</si>
  <si>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</si>
  <si>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</si>
  <si>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</si>
  <si>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</si>
  <si>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</si>
  <si>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</si>
  <si>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</si>
  <si>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</si>
  <si>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</si>
  <si>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</si>
  <si>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</si>
  <si>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</si>
  <si>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</si>
  <si>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</si>
  <si>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</si>
  <si>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</si>
  <si>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</si>
  <si>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</si>
  <si>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</si>
  <si>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</si>
  <si>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</si>
  <si>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</si>
  <si>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</si>
  <si>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</si>
  <si>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Net income (loss)</t>
  </si>
  <si>
    <t>Deferred income taxes</t>
  </si>
  <si>
    <t>Other, net</t>
  </si>
  <si>
    <t>Income taxes</t>
  </si>
  <si>
    <t>Other income</t>
  </si>
  <si>
    <t>Update: 09/06/2023</t>
  </si>
  <si>
    <t>Terminal Growth Rate</t>
  </si>
  <si>
    <t>STATEMENTS OF CONSOLIDATED OPERATIONS</t>
  </si>
  <si>
    <t>Year Ended December 31,</t>
  </si>
  <si>
    <t>2022</t>
  </si>
  <si>
    <t>2021</t>
  </si>
  <si>
    <t>2020</t>
  </si>
  <si>
    <t>Operating revenue:</t>
  </si>
  <si>
    <t>Passenger revenue</t>
  </si>
  <si>
    <t>Cargo</t>
  </si>
  <si>
    <t>Other operating revenue</t>
  </si>
  <si>
    <t>Total operating revenue</t>
  </si>
  <si>
    <t>Operating expense:</t>
  </si>
  <si>
    <t>Aircraft fuel</t>
  </si>
  <si>
    <t>Salaries and related costs</t>
  </si>
  <si>
    <t>Landing fees and other rent</t>
  </si>
  <si>
    <t>Regional capacity purchase</t>
  </si>
  <si>
    <t>Aircraft maintenance materials and outside repairs</t>
  </si>
  <si>
    <t>Distribution expenses</t>
  </si>
  <si>
    <t>Aircraft rent</t>
  </si>
  <si>
    <t>Special charges (credits)</t>
  </si>
  <si>
    <t>Other operating expenses</t>
  </si>
  <si>
    <t>Total operating expense</t>
  </si>
  <si>
    <t>Operating income (loss)</t>
  </si>
  <si>
    <t>Nonoperating income (expense):</t>
  </si>
  <si>
    <t>Interest expense</t>
  </si>
  <si>
    <t>Interest income</t>
  </si>
  <si>
    <t>Interest capitalized</t>
  </si>
  <si>
    <t>Unrealized gains (losses) on investments, net</t>
  </si>
  <si>
    <t>Miscellaneous, net</t>
  </si>
  <si>
    <t>Total nonoperating expense, net</t>
  </si>
  <si>
    <t>Income (loss) before income taxes</t>
  </si>
  <si>
    <t>Income tax expense (benefit)</t>
  </si>
  <si>
    <t>STATEMENTS OF CONSOLIDATED CASH FLOWS</t>
  </si>
  <si>
    <t>Operating Activities:</t>
  </si>
  <si>
    <t>Adjustments to reconcile net income (loss) to net cash provided by (used in) operating activities -</t>
  </si>
  <si>
    <t>Deferred income tax (benefit)</t>
  </si>
  <si>
    <t>Operating and non-operating special charges, non-cash portion</t>
  </si>
  <si>
    <t>Unrealized (gains) losses on investments</t>
  </si>
  <si>
    <t>Amortization of debt discount and debt issuance costs</t>
  </si>
  <si>
    <t>Other operating activities</t>
  </si>
  <si>
    <t>Changes in operating assets and liabilities -</t>
  </si>
  <si>
    <t>Increase (decrease) in receivables</t>
  </si>
  <si>
    <t>Increase in intercompany receivables</t>
  </si>
  <si>
    <t>(Increase) decrease in other assets</t>
  </si>
  <si>
    <t>Increase in advance ticket sales</t>
  </si>
  <si>
    <t>Increase in frequent flyer deferred revenue</t>
  </si>
  <si>
    <t>Increase (decrease) in accounts payable</t>
  </si>
  <si>
    <t>Increase (decrease) in other liabilities</t>
  </si>
  <si>
    <t>Net cash provided by (used in) operating activities</t>
  </si>
  <si>
    <t>Investing Activities:</t>
  </si>
  <si>
    <t>Capital expenditures, net of flight equipment purchase deposit returns</t>
  </si>
  <si>
    <t>Purchases of short-term and other investments</t>
  </si>
  <si>
    <t>Proceeds from sale of short-term and other investments</t>
  </si>
  <si>
    <t>Proceeds from sale of property and equipment</t>
  </si>
  <si>
    <t>Net cash provided by (used in) investing activities</t>
  </si>
  <si>
    <t>Financing Activities:</t>
  </si>
  <si>
    <t>Proceeds from issuance of debt, net of discounts and fees</t>
  </si>
  <si>
    <t>Payments of long-term debt, finance leases and other financing liabilities</t>
  </si>
  <si>
    <t>Proceeds from issuance of parent company stock</t>
  </si>
  <si>
    <t>—</t>
  </si>
  <si>
    <t>Dividend to UAL</t>
  </si>
  <si>
    <t>Net cash provided by (used in) financing activities</t>
  </si>
  <si>
    <t>Net increase (decrease) in cash, cash equivalents and restricted cash</t>
  </si>
  <si>
    <t>Cash, cash equivalents and restricted cash at beginning of year</t>
  </si>
  <si>
    <t>Cash, cash equivalents and restricted cash at end of year</t>
  </si>
  <si>
    <t>Investing and Financing Activities Not Affecting Cash:</t>
  </si>
  <si>
    <t>Property and equipment acquired through the issuance of debt, finance leases and other</t>
  </si>
  <si>
    <t>Right-of-use assets acquired through operating leases</t>
  </si>
  <si>
    <t>Investment interests received in exchange for goods and services</t>
  </si>
  <si>
    <t>Lease modifications and lease conversions</t>
  </si>
  <si>
    <t>Cash Paid (Refunded) During the Period for:</t>
  </si>
  <si>
    <t>Interest</t>
  </si>
  <si>
    <t>2019</t>
  </si>
  <si>
    <t>Special charges</t>
  </si>
  <si>
    <t>Income before income taxes</t>
  </si>
  <si>
    <t>Income tax expense</t>
  </si>
  <si>
    <t>Adjustments to reconcile net income to net cash provided by operating activities -</t>
  </si>
  <si>
    <t>Special charges, non-cash portion</t>
  </si>
  <si>
    <t>(Increase) decrease in receivables</t>
  </si>
  <si>
    <t>Increase (decrease) in frequent flyer deferred revenue</t>
  </si>
  <si>
    <t>Increase in accounts payable</t>
  </si>
  <si>
    <t>Decrease in advanced purchase of miles</t>
  </si>
  <si>
    <t>Decrease in other liabilities</t>
  </si>
  <si>
    <t>Net cash provided by operating activities</t>
  </si>
  <si>
    <t>Capital expenditures</t>
  </si>
  <si>
    <t>Loans made to others</t>
  </si>
  <si>
    <t>Investment in affiliates</t>
  </si>
  <si>
    <t>Net cash used in investing activities</t>
  </si>
  <si>
    <t>Proceeds from issuance of long-term debt</t>
  </si>
  <si>
    <t>Payments of long-term debt</t>
  </si>
  <si>
    <t>Principal payments under finance leases</t>
  </si>
  <si>
    <t>Capitalized financing costs</t>
  </si>
  <si>
    <t>Net cash used in financing activities</t>
  </si>
  <si>
    <t>Property and equipment acquired through the issuance of debt</t>
  </si>
  <si>
    <t>Property and equipment acquired through finance lease</t>
  </si>
  <si>
    <t>Debt associated with termination of a maintenance service agreement</t>
  </si>
  <si>
    <t>Investment in Republic Airways Holdings Inc. received from bankruptcy claims</t>
  </si>
  <si>
    <t>Cash Paid During the Period for:</t>
  </si>
  <si>
    <t xml:space="preserve">Other </t>
  </si>
  <si>
    <t>United Airlines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</si>
</sst>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8" formatCode="_(\$* #,##0_);_(\$* \(#,##0\);_(\$* \-_);_(@_)"/>
    <numFmt numFmtId="169" formatCode="\(#,##0_);[Red]\(#,##0\)"/>
    <numFmt numFmtId="170" formatCode="&quot;($&quot;#,##0_);[Red]&quot;(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0" fillId="0" borderId="0" xfId="0" applyFont="1"/>
    <xf numFmtId="168" fontId="10" fillId="0" borderId="0" xfId="0" applyNumberFormat="1" applyFont="1"/>
    <xf numFmtId="3" fontId="10" fillId="0" borderId="0" xfId="0" applyNumberFormat="1" applyFont="1"/>
    <xf numFmtId="169" fontId="10" fillId="0" borderId="0" xfId="0" applyNumberFormat="1" applyFont="1"/>
    <xf numFmtId="170" fontId="10" fillId="0" borderId="0" xfId="0" applyNumberFormat="1" applyFont="1"/>
    <xf numFmtId="168" fontId="10" fillId="0" borderId="0" xfId="0" applyNumberFormat="1" applyFont="1" applyAlignment="1"/>
    <xf numFmtId="0" fontId="0" fillId="0" borderId="0" xfId="0" applyAlignment="1"/>
    <xf numFmtId="170" fontId="10" fillId="0" borderId="0" xfId="0" applyNumberFormat="1" applyFont="1" applyAlignment="1"/>
    <xf numFmtId="3" fontId="10" fillId="0" borderId="0" xfId="0" applyNumberFormat="1" applyFont="1" applyAlignment="1"/>
    <xf numFmtId="169" fontId="10" fillId="0" borderId="0" xfId="0" applyNumberFormat="1" applyFont="1" applyAlignment="1"/>
    <xf numFmtId="0" fontId="10" fillId="0" borderId="0" xfId="0" applyFont="1" applyAlignment="1"/>
    <xf numFmtId="168" fontId="0" fillId="0" borderId="0" xfId="0" applyNumberFormat="1"/>
    <xf numFmtId="169" fontId="0" fillId="0" borderId="0" xfId="0" applyNumberFormat="1"/>
    <xf numFmtId="0" fontId="6" fillId="4" borderId="0" xfId="0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  <xf numFmtId="3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topLeftCell="C49" zoomScaleNormal="100" workbookViewId="0">
      <selection activeCell="K58" sqref="K58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3" customFormat="1" ht="23.25" x14ac:dyDescent="0.35">
      <c r="A2" s="3"/>
      <c r="B2" s="4" t="s">
        <v>156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3" customFormat="1" x14ac:dyDescent="0.25">
      <c r="A5" s="1"/>
      <c r="B5" s="1"/>
      <c r="C5" s="7" t="s">
        <v>1</v>
      </c>
      <c r="D5" s="1"/>
      <c r="E5" s="8">
        <f>WACC!K14+2%</f>
        <v>0.10579253649827967</v>
      </c>
      <c r="F5" s="2"/>
      <c r="G5" s="1"/>
      <c r="H5" s="1" t="s">
        <v>2</v>
      </c>
      <c r="I5" s="1"/>
      <c r="J5" s="7">
        <v>53.9</v>
      </c>
      <c r="K5" s="1"/>
      <c r="L5" s="1" t="s">
        <v>3</v>
      </c>
      <c r="M5" s="1"/>
      <c r="N5" s="7">
        <f>(J6/J5)-1</f>
        <v>0.81561175840034084</v>
      </c>
      <c r="O5" s="1"/>
      <c r="P5" s="1" t="s">
        <v>56</v>
      </c>
      <c r="Q5" s="1"/>
      <c r="R5" s="2"/>
    </row>
    <row r="6" spans="1:18" s="53" customFormat="1" x14ac:dyDescent="0.25">
      <c r="A6" s="1"/>
      <c r="B6" s="1"/>
      <c r="C6" s="7" t="s">
        <v>4</v>
      </c>
      <c r="D6" s="1"/>
      <c r="E6" s="8">
        <v>0.01</v>
      </c>
      <c r="F6" s="2"/>
      <c r="G6" s="1"/>
      <c r="H6" s="1" t="s">
        <v>5</v>
      </c>
      <c r="I6" s="1"/>
      <c r="J6" s="60">
        <f>E64</f>
        <v>97.861473777778372</v>
      </c>
      <c r="K6" s="1"/>
      <c r="L6" s="1"/>
      <c r="M6" s="1"/>
      <c r="N6" s="1"/>
      <c r="O6" s="1"/>
      <c r="P6" s="1"/>
      <c r="Q6" s="1"/>
      <c r="R6" s="2"/>
    </row>
    <row r="7" spans="1:18" s="5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1"/>
      <c r="M7" s="1"/>
      <c r="N7" s="1"/>
      <c r="O7" s="1"/>
      <c r="P7" s="1"/>
      <c r="Q7" s="1"/>
      <c r="R7" s="2"/>
    </row>
    <row r="8" spans="1:18" s="5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6">
        <v>2023</v>
      </c>
      <c r="J10" s="95">
        <v>2024</v>
      </c>
      <c r="K10" s="95">
        <v>2025</v>
      </c>
      <c r="L10" s="95">
        <v>2026</v>
      </c>
      <c r="M10" s="95">
        <v>2027</v>
      </c>
      <c r="N10" s="95">
        <v>2028</v>
      </c>
      <c r="O10" s="95">
        <v>2029</v>
      </c>
      <c r="P10" s="95">
        <v>2030</v>
      </c>
      <c r="Q10" s="95">
        <v>2031</v>
      </c>
      <c r="R10" s="95">
        <v>2032</v>
      </c>
    </row>
    <row r="11" spans="1:18" s="53" customFormat="1" x14ac:dyDescent="0.25">
      <c r="A11" s="1"/>
      <c r="B11" s="1" t="s">
        <v>7</v>
      </c>
      <c r="C11" s="11">
        <f>'Raw IS'!I10</f>
        <v>37784</v>
      </c>
      <c r="D11" s="11">
        <f>'Raw IS'!J10</f>
        <v>41303</v>
      </c>
      <c r="E11" s="11">
        <f>'Raw IS'!K10</f>
        <v>43259</v>
      </c>
      <c r="F11" s="11">
        <f>'Raw IS'!D10</f>
        <v>15355</v>
      </c>
      <c r="G11" s="11">
        <f>'Raw IS'!E10</f>
        <v>24634</v>
      </c>
      <c r="H11" s="11">
        <f>'Raw IS'!F10</f>
        <v>44955</v>
      </c>
      <c r="I11" s="20">
        <f>H11*(1+I12)</f>
        <v>52680</v>
      </c>
      <c r="J11" s="96">
        <f t="shared" ref="J11:R11" si="1">I11*(1+J12)</f>
        <v>55790.000000000007</v>
      </c>
      <c r="K11" s="96">
        <f t="shared" si="1"/>
        <v>59060.000000000015</v>
      </c>
      <c r="L11" s="96">
        <f t="shared" si="1"/>
        <v>63140.000000000015</v>
      </c>
      <c r="M11" s="96">
        <f t="shared" si="1"/>
        <v>62140.000000000015</v>
      </c>
      <c r="N11" s="96">
        <f t="shared" si="1"/>
        <v>63072.100000000006</v>
      </c>
      <c r="O11" s="96">
        <f t="shared" si="1"/>
        <v>64018.181499999999</v>
      </c>
      <c r="P11" s="96">
        <f t="shared" si="1"/>
        <v>64978.45422249999</v>
      </c>
      <c r="Q11" s="96">
        <f t="shared" si="1"/>
        <v>65953.131035837476</v>
      </c>
      <c r="R11" s="96">
        <f t="shared" si="1"/>
        <v>66942.428001375025</v>
      </c>
    </row>
    <row r="12" spans="1:18" s="53" customFormat="1" x14ac:dyDescent="0.25">
      <c r="A12" s="1"/>
      <c r="B12" s="74" t="s">
        <v>8</v>
      </c>
      <c r="C12" s="75"/>
      <c r="D12" s="75">
        <f>(D11/C11)-1</f>
        <v>9.3134660173618489E-2</v>
      </c>
      <c r="E12" s="75">
        <f>(E11/D11)-1</f>
        <v>4.7357334818294072E-2</v>
      </c>
      <c r="F12" s="75">
        <f>(F11/E11)-1</f>
        <v>-0.64504496174206527</v>
      </c>
      <c r="G12" s="75">
        <f>(G11/F11)-1</f>
        <v>0.60429827417779225</v>
      </c>
      <c r="H12" s="75">
        <f>(H11/G11)-1</f>
        <v>0.82491678168385163</v>
      </c>
      <c r="I12" s="76">
        <v>0.17183850517183852</v>
      </c>
      <c r="J12" s="77">
        <v>5.9035687167805717E-2</v>
      </c>
      <c r="K12" s="77">
        <v>5.8612654597598235E-2</v>
      </c>
      <c r="L12" s="77">
        <v>6.9082289197426316E-2</v>
      </c>
      <c r="M12" s="77">
        <v>-1.5837820715869477E-2</v>
      </c>
      <c r="N12" s="77">
        <v>1.4999999999999999E-2</v>
      </c>
      <c r="O12" s="77">
        <v>1.4999999999999999E-2</v>
      </c>
      <c r="P12" s="77">
        <v>1.4999999999999999E-2</v>
      </c>
      <c r="Q12" s="77">
        <v>1.4999999999999999E-2</v>
      </c>
      <c r="R12" s="77">
        <v>1.4999999999999999E-2</v>
      </c>
    </row>
    <row r="13" spans="1:18" s="5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98"/>
      <c r="K13" s="98"/>
      <c r="L13" s="98"/>
      <c r="M13" s="98"/>
      <c r="N13" s="98"/>
      <c r="O13" s="98"/>
      <c r="P13" s="98"/>
      <c r="Q13" s="98"/>
      <c r="R13" s="98"/>
    </row>
    <row r="14" spans="1:18" s="53" customFormat="1" x14ac:dyDescent="0.25">
      <c r="A14" s="1"/>
      <c r="B14" s="1" t="s">
        <v>9</v>
      </c>
      <c r="C14" s="11">
        <f>SUM('Raw IS'!I12:I19)-'Raw IS'!I16</f>
        <v>26344</v>
      </c>
      <c r="D14" s="11">
        <f>SUM('Raw IS'!J12:J19)-'Raw IS'!J16</f>
        <v>29621</v>
      </c>
      <c r="E14" s="11">
        <f>SUM('Raw IS'!K12:K19)-'Raw IS'!K16</f>
        <v>30149</v>
      </c>
      <c r="F14" s="11">
        <f>SUM('Raw IS'!D12:D19)-'Raw IS'!D15</f>
        <v>18356</v>
      </c>
      <c r="G14" s="11">
        <f>SUM('Raw IS'!E12:E19)-'Raw IS'!E15</f>
        <v>22105</v>
      </c>
      <c r="H14" s="11">
        <f>SUM('Raw IS'!F12:F19)-'Raw IS'!F15</f>
        <v>33394</v>
      </c>
      <c r="I14" s="71">
        <f>I11-I16</f>
        <v>37139.4</v>
      </c>
      <c r="J14" s="72">
        <f t="shared" ref="J14:R14" si="2">J11-J16</f>
        <v>38299.835000000006</v>
      </c>
      <c r="K14" s="72">
        <f t="shared" si="2"/>
        <v>40485.630000000005</v>
      </c>
      <c r="L14" s="72">
        <f t="shared" si="2"/>
        <v>43692.880000000012</v>
      </c>
      <c r="M14" s="72">
        <f t="shared" si="2"/>
        <v>42690.180000000008</v>
      </c>
      <c r="N14" s="72">
        <f t="shared" si="2"/>
        <v>43204.388500000001</v>
      </c>
      <c r="O14" s="72">
        <f t="shared" si="2"/>
        <v>43724.417964499997</v>
      </c>
      <c r="P14" s="72">
        <f t="shared" si="2"/>
        <v>44250.327325522492</v>
      </c>
      <c r="Q14" s="72">
        <f t="shared" si="2"/>
        <v>44782.175973333644</v>
      </c>
      <c r="R14" s="72">
        <f t="shared" si="2"/>
        <v>45320.023756930896</v>
      </c>
    </row>
    <row r="15" spans="1:18" s="53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7"/>
      <c r="K15" s="97"/>
      <c r="L15" s="97"/>
      <c r="M15" s="97"/>
      <c r="N15" s="97"/>
      <c r="O15" s="97"/>
      <c r="P15" s="97"/>
      <c r="Q15" s="97"/>
      <c r="R15" s="97"/>
    </row>
    <row r="16" spans="1:18" s="53" customFormat="1" x14ac:dyDescent="0.25">
      <c r="A16" s="1"/>
      <c r="B16" s="1" t="s">
        <v>10</v>
      </c>
      <c r="C16" s="11">
        <f>C11-C14</f>
        <v>11440</v>
      </c>
      <c r="D16" s="11">
        <f t="shared" ref="D16:H16" si="3">D11-D14</f>
        <v>11682</v>
      </c>
      <c r="E16" s="11">
        <f t="shared" si="3"/>
        <v>13110</v>
      </c>
      <c r="F16" s="11">
        <f t="shared" si="3"/>
        <v>-3001</v>
      </c>
      <c r="G16" s="11">
        <f t="shared" si="3"/>
        <v>2529</v>
      </c>
      <c r="H16" s="11">
        <f t="shared" si="3"/>
        <v>11561</v>
      </c>
      <c r="I16" s="20">
        <f>I11*I17</f>
        <v>15540.599999999999</v>
      </c>
      <c r="J16" s="96">
        <f t="shared" ref="J16:R16" si="4">J11*J17</f>
        <v>17490.165000000001</v>
      </c>
      <c r="K16" s="96">
        <f>K11*K17</f>
        <v>18574.370000000006</v>
      </c>
      <c r="L16" s="96">
        <f t="shared" si="4"/>
        <v>19447.120000000003</v>
      </c>
      <c r="M16" s="96">
        <f t="shared" si="4"/>
        <v>19449.820000000003</v>
      </c>
      <c r="N16" s="96">
        <f t="shared" si="4"/>
        <v>19867.711500000001</v>
      </c>
      <c r="O16" s="96">
        <f t="shared" si="4"/>
        <v>20293.763535499998</v>
      </c>
      <c r="P16" s="96">
        <f t="shared" si="4"/>
        <v>20728.126896977497</v>
      </c>
      <c r="Q16" s="96">
        <f t="shared" si="4"/>
        <v>21170.955062503832</v>
      </c>
      <c r="R16" s="96">
        <f t="shared" si="4"/>
        <v>21622.404244444133</v>
      </c>
    </row>
    <row r="17" spans="1:18" s="53" customFormat="1" x14ac:dyDescent="0.25">
      <c r="A17" s="1"/>
      <c r="B17" s="74" t="s">
        <v>11</v>
      </c>
      <c r="C17" s="75">
        <f t="shared" ref="C17:H17" si="5">C16/C11</f>
        <v>0.30277366080880797</v>
      </c>
      <c r="D17" s="75">
        <f t="shared" si="5"/>
        <v>0.28283659782582377</v>
      </c>
      <c r="E17" s="75">
        <f t="shared" si="5"/>
        <v>0.30305832312351189</v>
      </c>
      <c r="F17" s="75">
        <f t="shared" si="5"/>
        <v>-0.19544122435688702</v>
      </c>
      <c r="G17" s="75">
        <f t="shared" si="5"/>
        <v>0.10266298611674921</v>
      </c>
      <c r="H17" s="75">
        <f t="shared" si="5"/>
        <v>0.25716827939050163</v>
      </c>
      <c r="I17" s="79">
        <v>0.29499999999999998</v>
      </c>
      <c r="J17" s="99">
        <v>0.3135</v>
      </c>
      <c r="K17" s="99">
        <v>0.3145</v>
      </c>
      <c r="L17" s="99">
        <v>0.308</v>
      </c>
      <c r="M17" s="99">
        <v>0.313</v>
      </c>
      <c r="N17" s="99">
        <f>M17+0.2%</f>
        <v>0.315</v>
      </c>
      <c r="O17" s="99">
        <f t="shared" ref="O17:R17" si="6">N17+0.2%</f>
        <v>0.317</v>
      </c>
      <c r="P17" s="99">
        <f t="shared" si="6"/>
        <v>0.31900000000000001</v>
      </c>
      <c r="Q17" s="99">
        <f t="shared" si="6"/>
        <v>0.32100000000000001</v>
      </c>
      <c r="R17" s="99">
        <f t="shared" si="6"/>
        <v>0.32300000000000001</v>
      </c>
    </row>
    <row r="18" spans="1:18" s="53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96"/>
      <c r="K18" s="96"/>
      <c r="L18" s="96"/>
      <c r="M18" s="96"/>
      <c r="N18" s="96"/>
      <c r="O18" s="96"/>
      <c r="P18" s="96"/>
      <c r="Q18" s="96"/>
      <c r="R18" s="96"/>
    </row>
    <row r="19" spans="1:18" s="53" customFormat="1" x14ac:dyDescent="0.25">
      <c r="A19" s="1"/>
      <c r="B19" s="1" t="s">
        <v>20</v>
      </c>
      <c r="C19" s="11">
        <f>'Raw IS'!I16</f>
        <v>2096</v>
      </c>
      <c r="D19" s="11">
        <f>'Raw IS'!J16</f>
        <v>2165</v>
      </c>
      <c r="E19" s="11">
        <f>'Raw IS'!K16</f>
        <v>2288</v>
      </c>
      <c r="F19" s="11">
        <f>'Raw IS'!D15</f>
        <v>2488</v>
      </c>
      <c r="G19" s="11">
        <f>'Raw IS'!E15</f>
        <v>2485</v>
      </c>
      <c r="H19" s="11">
        <f>'Raw IS'!F15</f>
        <v>2456</v>
      </c>
      <c r="I19" s="20">
        <f t="shared" ref="I19" si="7">I20*I11</f>
        <v>2680</v>
      </c>
      <c r="J19" s="96">
        <f t="shared" ref="J19" si="8">J20*J11</f>
        <v>2900</v>
      </c>
      <c r="K19" s="96">
        <f t="shared" ref="K19" si="9">K20*K11</f>
        <v>3090</v>
      </c>
      <c r="L19" s="96">
        <f t="shared" ref="L19" si="10">L20*L11</f>
        <v>3470</v>
      </c>
      <c r="M19" s="96">
        <f t="shared" ref="M19" si="11">M20*M11</f>
        <v>3080</v>
      </c>
      <c r="N19" s="96">
        <f t="shared" ref="N19" si="12">N20*N11</f>
        <v>3157.7360499999995</v>
      </c>
      <c r="O19" s="96">
        <f t="shared" ref="O19" si="13">O20*O11</f>
        <v>3269.1202722499993</v>
      </c>
      <c r="P19" s="96">
        <f t="shared" ref="P19" si="14">P20*P11</f>
        <v>3383.1355305562488</v>
      </c>
      <c r="Q19" s="96">
        <f t="shared" ref="Q19" si="15">Q20*Q11</f>
        <v>3499.8356945504297</v>
      </c>
      <c r="R19" s="96">
        <f t="shared" ref="J19:R19" si="16">R20*R11</f>
        <v>3619.2756579700604</v>
      </c>
    </row>
    <row r="20" spans="1:18" s="53" customFormat="1" x14ac:dyDescent="0.25">
      <c r="A20" s="1"/>
      <c r="B20" s="74" t="s">
        <v>16</v>
      </c>
      <c r="C20" s="75">
        <f t="shared" ref="C20:M20" si="17">C19/C11</f>
        <v>5.5473216176159218E-2</v>
      </c>
      <c r="D20" s="75">
        <f t="shared" si="17"/>
        <v>5.2417499939471708E-2</v>
      </c>
      <c r="E20" s="75">
        <f t="shared" si="17"/>
        <v>5.2890727941006493E-2</v>
      </c>
      <c r="F20" s="75">
        <f t="shared" si="17"/>
        <v>0.1620319114295018</v>
      </c>
      <c r="G20" s="75">
        <f t="shared" si="17"/>
        <v>0.10087683689210035</v>
      </c>
      <c r="H20" s="75">
        <f t="shared" si="17"/>
        <v>5.4632410187965746E-2</v>
      </c>
      <c r="I20" s="76">
        <v>5.0873196659073652E-2</v>
      </c>
      <c r="J20" s="77">
        <v>5.1980641692059501E-2</v>
      </c>
      <c r="K20" s="77">
        <v>5.231967490687435E-2</v>
      </c>
      <c r="L20" s="77">
        <v>5.4957237884067138E-2</v>
      </c>
      <c r="M20" s="77">
        <v>4.9565497264242024E-2</v>
      </c>
      <c r="N20" s="77">
        <f>M20+0.05%</f>
        <v>5.0065497264242025E-2</v>
      </c>
      <c r="O20" s="77">
        <f t="shared" ref="O20:R20" si="18">N20+0.1%</f>
        <v>5.1065497264242025E-2</v>
      </c>
      <c r="P20" s="77">
        <f t="shared" si="18"/>
        <v>5.2065497264242026E-2</v>
      </c>
      <c r="Q20" s="77">
        <f t="shared" si="18"/>
        <v>5.3065497264242027E-2</v>
      </c>
      <c r="R20" s="77">
        <f t="shared" si="18"/>
        <v>5.4065497264242028E-2</v>
      </c>
    </row>
    <row r="21" spans="1:18" s="53" customFormat="1" x14ac:dyDescent="0.25">
      <c r="A21" s="1"/>
      <c r="B21" s="1"/>
      <c r="C21" s="11"/>
      <c r="D21" s="11"/>
      <c r="E21" s="11"/>
      <c r="F21" s="11"/>
      <c r="G21" s="11"/>
      <c r="H21" s="11"/>
      <c r="I21" s="39"/>
      <c r="J21" s="100"/>
      <c r="K21" s="100"/>
      <c r="L21" s="100"/>
      <c r="M21" s="100"/>
      <c r="N21" s="100"/>
      <c r="O21" s="100"/>
      <c r="P21" s="100"/>
      <c r="Q21" s="100"/>
      <c r="R21" s="100"/>
    </row>
    <row r="22" spans="1:18" s="53" customFormat="1" x14ac:dyDescent="0.25">
      <c r="A22" s="1"/>
      <c r="B22" s="1" t="s">
        <v>155</v>
      </c>
      <c r="C22" s="11">
        <f>'Raw IS'!I20+'Raw IS'!I21</f>
        <v>5724</v>
      </c>
      <c r="D22" s="11">
        <f>'Raw IS'!J20+'Raw IS'!J21</f>
        <v>6286</v>
      </c>
      <c r="E22" s="11">
        <f>'Raw IS'!K20+'Raw IS'!K21</f>
        <v>6519</v>
      </c>
      <c r="F22" s="11">
        <f>'Raw IS'!D20+'Raw IS'!D21</f>
        <v>868</v>
      </c>
      <c r="G22" s="11">
        <f>'Raw IS'!E20+'Raw IS'!E21</f>
        <v>1064</v>
      </c>
      <c r="H22" s="11">
        <f>'Raw IS'!F20+'Raw IS'!F21</f>
        <v>6766</v>
      </c>
      <c r="I22" s="39">
        <f>I23*I11</f>
        <v>6795.72</v>
      </c>
      <c r="J22" s="100">
        <f t="shared" ref="J22:R22" si="19">J23*J11</f>
        <v>7196.9100000000008</v>
      </c>
      <c r="K22" s="100">
        <f t="shared" si="19"/>
        <v>7618.7400000000025</v>
      </c>
      <c r="L22" s="100">
        <f t="shared" si="19"/>
        <v>8145.0600000000022</v>
      </c>
      <c r="M22" s="100">
        <f t="shared" si="19"/>
        <v>8016.0600000000022</v>
      </c>
      <c r="N22" s="100">
        <f t="shared" si="19"/>
        <v>8136.3009000000011</v>
      </c>
      <c r="O22" s="100">
        <f t="shared" si="19"/>
        <v>8258.3454134999993</v>
      </c>
      <c r="P22" s="100">
        <f t="shared" si="19"/>
        <v>8382.2205947024995</v>
      </c>
      <c r="Q22" s="100">
        <f t="shared" si="19"/>
        <v>8507.9539036230344</v>
      </c>
      <c r="R22" s="100">
        <f t="shared" si="19"/>
        <v>8635.5732121773781</v>
      </c>
    </row>
    <row r="23" spans="1:18" s="53" customFormat="1" x14ac:dyDescent="0.25">
      <c r="A23" s="1"/>
      <c r="B23" s="13" t="s">
        <v>16</v>
      </c>
      <c r="C23" s="14">
        <f>C22/C11</f>
        <v>0.1514926953207707</v>
      </c>
      <c r="D23" s="14">
        <f t="shared" ref="D23:H23" si="20">D22/D11</f>
        <v>0.1521923346972375</v>
      </c>
      <c r="E23" s="14">
        <f t="shared" si="20"/>
        <v>0.15069696479345338</v>
      </c>
      <c r="F23" s="14">
        <f t="shared" si="20"/>
        <v>5.652881797460111E-2</v>
      </c>
      <c r="G23" s="14">
        <f t="shared" si="20"/>
        <v>4.3192335796054235E-2</v>
      </c>
      <c r="H23" s="14">
        <f t="shared" si="20"/>
        <v>0.15050606161717273</v>
      </c>
      <c r="I23" s="19">
        <v>0.129</v>
      </c>
      <c r="J23" s="70">
        <v>0.129</v>
      </c>
      <c r="K23" s="70">
        <v>0.129</v>
      </c>
      <c r="L23" s="70">
        <v>0.129</v>
      </c>
      <c r="M23" s="70">
        <v>0.129</v>
      </c>
      <c r="N23" s="70">
        <v>0.129</v>
      </c>
      <c r="O23" s="70">
        <v>0.129</v>
      </c>
      <c r="P23" s="70">
        <v>0.129</v>
      </c>
      <c r="Q23" s="70">
        <v>0.129</v>
      </c>
      <c r="R23" s="70">
        <v>0.129</v>
      </c>
    </row>
    <row r="24" spans="1:18" s="53" customFormat="1" x14ac:dyDescent="0.25">
      <c r="A24" s="1"/>
      <c r="B24" s="1"/>
      <c r="C24" s="11"/>
      <c r="D24" s="11"/>
      <c r="E24" s="11"/>
      <c r="F24" s="11"/>
      <c r="G24" s="11"/>
      <c r="H24" s="11"/>
      <c r="I24" s="39"/>
      <c r="J24" s="100"/>
      <c r="K24" s="100"/>
      <c r="L24" s="100"/>
      <c r="M24" s="100"/>
      <c r="N24" s="100"/>
      <c r="O24" s="100"/>
      <c r="P24" s="100"/>
      <c r="Q24" s="100"/>
      <c r="R24" s="100"/>
    </row>
    <row r="25" spans="1:18" s="53" customFormat="1" x14ac:dyDescent="0.25">
      <c r="A25" s="1"/>
      <c r="B25" s="1" t="s">
        <v>12</v>
      </c>
      <c r="C25" s="11">
        <f>C19+C22</f>
        <v>7820</v>
      </c>
      <c r="D25" s="11">
        <f>D19+D22</f>
        <v>8451</v>
      </c>
      <c r="E25" s="11">
        <f>E19+E22</f>
        <v>8807</v>
      </c>
      <c r="F25" s="11">
        <f>F19+F22</f>
        <v>3356</v>
      </c>
      <c r="G25" s="11">
        <f>G19+G22</f>
        <v>3549</v>
      </c>
      <c r="H25" s="11">
        <f>H19+H22</f>
        <v>9222</v>
      </c>
      <c r="I25" s="39">
        <f>I19+I22</f>
        <v>9475.7200000000012</v>
      </c>
      <c r="J25" s="100">
        <f t="shared" ref="I25:R25" si="21">J19+J22</f>
        <v>10096.91</v>
      </c>
      <c r="K25" s="100">
        <f t="shared" si="21"/>
        <v>10708.740000000002</v>
      </c>
      <c r="L25" s="100">
        <f t="shared" si="21"/>
        <v>11615.060000000001</v>
      </c>
      <c r="M25" s="100">
        <f t="shared" si="21"/>
        <v>11096.060000000001</v>
      </c>
      <c r="N25" s="100">
        <f t="shared" si="21"/>
        <v>11294.036950000002</v>
      </c>
      <c r="O25" s="100">
        <f t="shared" si="21"/>
        <v>11527.465685749998</v>
      </c>
      <c r="P25" s="100">
        <f t="shared" si="21"/>
        <v>11765.356125258748</v>
      </c>
      <c r="Q25" s="100">
        <f t="shared" si="21"/>
        <v>12007.789598173464</v>
      </c>
      <c r="R25" s="100">
        <f t="shared" si="21"/>
        <v>12254.848870147438</v>
      </c>
    </row>
    <row r="26" spans="1:18" s="53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70"/>
      <c r="K26" s="70"/>
      <c r="L26" s="70"/>
      <c r="M26" s="70"/>
      <c r="N26" s="70"/>
      <c r="O26" s="70"/>
      <c r="P26" s="70"/>
      <c r="Q26" s="70"/>
      <c r="R26" s="70"/>
    </row>
    <row r="27" spans="1:18" s="53" customFormat="1" x14ac:dyDescent="0.25">
      <c r="A27" s="1"/>
      <c r="B27" s="1" t="s">
        <v>13</v>
      </c>
      <c r="C27" s="11">
        <f>C16-C25</f>
        <v>3620</v>
      </c>
      <c r="D27" s="11">
        <f>D16-D25</f>
        <v>3231</v>
      </c>
      <c r="E27" s="11">
        <f>E16-E25</f>
        <v>4303</v>
      </c>
      <c r="F27" s="11">
        <f>F16-F25</f>
        <v>-6357</v>
      </c>
      <c r="G27" s="11">
        <f>G16-G25</f>
        <v>-1020</v>
      </c>
      <c r="H27" s="11">
        <f>H16-H25</f>
        <v>2339</v>
      </c>
      <c r="I27" s="39">
        <f t="shared" ref="I27:R27" si="22">I16-I25</f>
        <v>6064.8799999999974</v>
      </c>
      <c r="J27" s="100">
        <f t="shared" si="22"/>
        <v>7393.255000000001</v>
      </c>
      <c r="K27" s="100">
        <f t="shared" si="22"/>
        <v>7865.6300000000047</v>
      </c>
      <c r="L27" s="100">
        <f t="shared" si="22"/>
        <v>7832.0600000000013</v>
      </c>
      <c r="M27" s="100">
        <f t="shared" si="22"/>
        <v>8353.760000000002</v>
      </c>
      <c r="N27" s="100">
        <f t="shared" si="22"/>
        <v>8573.6745499999997</v>
      </c>
      <c r="O27" s="100">
        <f t="shared" si="22"/>
        <v>8766.2978497500008</v>
      </c>
      <c r="P27" s="100">
        <f t="shared" si="22"/>
        <v>8962.7707717187495</v>
      </c>
      <c r="Q27" s="100">
        <f t="shared" si="22"/>
        <v>9163.1654643303682</v>
      </c>
      <c r="R27" s="100">
        <f t="shared" si="22"/>
        <v>9367.5553742966949</v>
      </c>
    </row>
    <row r="28" spans="1:18" s="53" customFormat="1" x14ac:dyDescent="0.25">
      <c r="A28" s="1"/>
      <c r="B28" s="1" t="s">
        <v>55</v>
      </c>
      <c r="C28" s="68">
        <f>SUM('Raw IS'!I31)</f>
        <v>-595</v>
      </c>
      <c r="D28" s="68">
        <f>SUM('Raw IS'!J31)</f>
        <v>-581</v>
      </c>
      <c r="E28" s="68">
        <f>SUM('Raw IS'!K31)</f>
        <v>-387</v>
      </c>
      <c r="F28" s="68">
        <f>'Raw IS'!D31</f>
        <v>-2463</v>
      </c>
      <c r="G28" s="68">
        <f>'Raw IS'!E31</f>
        <v>-1535</v>
      </c>
      <c r="H28" s="68">
        <f>'Raw IS'!F31</f>
        <v>-1347</v>
      </c>
      <c r="I28" s="20">
        <f>I29*I11</f>
        <v>-1580.3999999999999</v>
      </c>
      <c r="J28" s="96">
        <f>J29*J11</f>
        <v>-2108.8620000000001</v>
      </c>
      <c r="K28" s="96">
        <f>K29*K11</f>
        <v>-1948.9800000000005</v>
      </c>
      <c r="L28" s="96">
        <f>L29*L11</f>
        <v>-1913.1420000000005</v>
      </c>
      <c r="M28" s="96">
        <f>M29*M11</f>
        <v>-1882.8420000000006</v>
      </c>
      <c r="N28" s="96">
        <f>N29*N11</f>
        <v>-2838.2445000000002</v>
      </c>
      <c r="O28" s="96">
        <f>O29*O11</f>
        <v>-2880.8181674999996</v>
      </c>
      <c r="P28" s="96">
        <f>P29*P11</f>
        <v>-2924.0304400124996</v>
      </c>
      <c r="Q28" s="96">
        <f>Q29*Q11</f>
        <v>-2967.8908966126864</v>
      </c>
      <c r="R28" s="96">
        <f>R29*R11</f>
        <v>-3012.409260061876</v>
      </c>
    </row>
    <row r="29" spans="1:18" s="53" customFormat="1" x14ac:dyDescent="0.25">
      <c r="A29" s="1"/>
      <c r="B29" s="74" t="s">
        <v>16</v>
      </c>
      <c r="C29" s="75">
        <f>C28/C11</f>
        <v>-1.5747406309549017E-2</v>
      </c>
      <c r="D29" s="75">
        <f>D28/D11</f>
        <v>-1.406677481054645E-2</v>
      </c>
      <c r="E29" s="75">
        <f>E28/E11</f>
        <v>-8.9461152592524105E-3</v>
      </c>
      <c r="F29" s="75">
        <f>F28/F11</f>
        <v>-0.16040377727124716</v>
      </c>
      <c r="G29" s="75">
        <f>G28/G11</f>
        <v>-6.2312251359909067E-2</v>
      </c>
      <c r="H29" s="75">
        <f>H28/H11</f>
        <v>-2.9963296629963297E-2</v>
      </c>
      <c r="I29" s="79">
        <v>-0.03</v>
      </c>
      <c r="J29" s="99">
        <v>-3.78E-2</v>
      </c>
      <c r="K29" s="99">
        <v>-3.3000000000000002E-2</v>
      </c>
      <c r="L29" s="99">
        <v>-3.0300000000000001E-2</v>
      </c>
      <c r="M29" s="99">
        <v>-3.0300000000000001E-2</v>
      </c>
      <c r="N29" s="99">
        <v>-4.4999999999999998E-2</v>
      </c>
      <c r="O29" s="99">
        <v>-4.4999999999999998E-2</v>
      </c>
      <c r="P29" s="99">
        <v>-4.4999999999999998E-2</v>
      </c>
      <c r="Q29" s="99">
        <v>-4.4999999999999998E-2</v>
      </c>
      <c r="R29" s="99">
        <v>-4.4999999999999998E-2</v>
      </c>
    </row>
    <row r="30" spans="1:18" s="53" customFormat="1" x14ac:dyDescent="0.25">
      <c r="A30" s="1"/>
      <c r="B30" s="1"/>
      <c r="C30" s="68"/>
      <c r="D30" s="68"/>
      <c r="E30" s="68"/>
      <c r="F30" s="68"/>
      <c r="G30" s="68"/>
      <c r="H30" s="68"/>
      <c r="I30" s="12"/>
      <c r="J30" s="97"/>
      <c r="K30" s="97"/>
      <c r="L30" s="97"/>
      <c r="M30" s="97"/>
      <c r="N30" s="97"/>
      <c r="O30" s="97"/>
      <c r="P30" s="97"/>
      <c r="Q30" s="97"/>
      <c r="R30" s="97"/>
    </row>
    <row r="31" spans="1:18" s="53" customFormat="1" x14ac:dyDescent="0.25">
      <c r="A31" s="1"/>
      <c r="B31" s="1" t="s">
        <v>14</v>
      </c>
      <c r="C31" s="11">
        <f>C27+C28</f>
        <v>3025</v>
      </c>
      <c r="D31" s="11">
        <f t="shared" ref="D31:R31" si="23">D27+D28</f>
        <v>2650</v>
      </c>
      <c r="E31" s="11">
        <f t="shared" si="23"/>
        <v>3916</v>
      </c>
      <c r="F31" s="11">
        <f t="shared" si="23"/>
        <v>-8820</v>
      </c>
      <c r="G31" s="11">
        <f t="shared" si="23"/>
        <v>-2555</v>
      </c>
      <c r="H31" s="11">
        <f t="shared" si="23"/>
        <v>992</v>
      </c>
      <c r="I31" s="39">
        <f>I27+I28</f>
        <v>4484.4799999999977</v>
      </c>
      <c r="J31" s="100">
        <f t="shared" si="23"/>
        <v>5284.3930000000009</v>
      </c>
      <c r="K31" s="100">
        <f t="shared" si="23"/>
        <v>5916.6500000000042</v>
      </c>
      <c r="L31" s="100">
        <f t="shared" si="23"/>
        <v>5918.9180000000006</v>
      </c>
      <c r="M31" s="100">
        <f t="shared" si="23"/>
        <v>6470.9180000000015</v>
      </c>
      <c r="N31" s="100">
        <f t="shared" si="23"/>
        <v>5735.430049999999</v>
      </c>
      <c r="O31" s="100">
        <f t="shared" si="23"/>
        <v>5885.4796822500011</v>
      </c>
      <c r="P31" s="100">
        <f t="shared" si="23"/>
        <v>6038.7403317062499</v>
      </c>
      <c r="Q31" s="100">
        <f t="shared" si="23"/>
        <v>6195.2745677176817</v>
      </c>
      <c r="R31" s="100">
        <f t="shared" si="23"/>
        <v>6355.1461142348189</v>
      </c>
    </row>
    <row r="32" spans="1:18" s="53" customFormat="1" x14ac:dyDescent="0.25">
      <c r="A32" s="1"/>
      <c r="B32" s="1"/>
      <c r="C32" s="21"/>
      <c r="D32" s="21"/>
      <c r="E32" s="21"/>
      <c r="F32" s="21"/>
      <c r="G32" s="21"/>
      <c r="H32" s="68"/>
      <c r="I32" s="12"/>
      <c r="J32" s="97"/>
      <c r="K32" s="97"/>
      <c r="L32" s="97"/>
      <c r="M32" s="97"/>
      <c r="N32" s="97"/>
      <c r="O32" s="97"/>
      <c r="P32" s="97"/>
      <c r="Q32" s="97"/>
      <c r="R32" s="97"/>
    </row>
    <row r="33" spans="1:86" s="53" customFormat="1" x14ac:dyDescent="0.25">
      <c r="A33" s="1"/>
      <c r="B33" s="1" t="s">
        <v>15</v>
      </c>
      <c r="C33" s="11">
        <f t="shared" ref="C33:R33" si="24">C27</f>
        <v>3620</v>
      </c>
      <c r="D33" s="11">
        <f t="shared" si="24"/>
        <v>3231</v>
      </c>
      <c r="E33" s="11">
        <f t="shared" si="24"/>
        <v>4303</v>
      </c>
      <c r="F33" s="11">
        <f t="shared" si="24"/>
        <v>-6357</v>
      </c>
      <c r="G33" s="11">
        <f t="shared" si="24"/>
        <v>-1020</v>
      </c>
      <c r="H33" s="11">
        <f>H27</f>
        <v>2339</v>
      </c>
      <c r="I33" s="39">
        <f>I27</f>
        <v>6064.8799999999974</v>
      </c>
      <c r="J33" s="100">
        <f t="shared" si="24"/>
        <v>7393.255000000001</v>
      </c>
      <c r="K33" s="100">
        <f t="shared" si="24"/>
        <v>7865.6300000000047</v>
      </c>
      <c r="L33" s="100">
        <f t="shared" si="24"/>
        <v>7832.0600000000013</v>
      </c>
      <c r="M33" s="100">
        <f t="shared" si="24"/>
        <v>8353.760000000002</v>
      </c>
      <c r="N33" s="100">
        <f t="shared" si="24"/>
        <v>8573.6745499999997</v>
      </c>
      <c r="O33" s="100">
        <f t="shared" si="24"/>
        <v>8766.2978497500008</v>
      </c>
      <c r="P33" s="100">
        <f t="shared" si="24"/>
        <v>8962.7707717187495</v>
      </c>
      <c r="Q33" s="100">
        <f t="shared" si="24"/>
        <v>9163.1654643303682</v>
      </c>
      <c r="R33" s="100">
        <f t="shared" si="24"/>
        <v>9367.5553742966949</v>
      </c>
    </row>
    <row r="34" spans="1:86" s="53" customFormat="1" x14ac:dyDescent="0.25">
      <c r="A34" s="1"/>
      <c r="B34" s="74" t="s">
        <v>16</v>
      </c>
      <c r="C34" s="75">
        <f>C33/C11</f>
        <v>9.5807749311878049E-2</v>
      </c>
      <c r="D34" s="75">
        <f>D33/D11</f>
        <v>7.822676318911459E-2</v>
      </c>
      <c r="E34" s="75">
        <f>E33/E11</f>
        <v>9.9470630389051989E-2</v>
      </c>
      <c r="F34" s="75">
        <f>F33/F11</f>
        <v>-0.41400195376098992</v>
      </c>
      <c r="G34" s="75">
        <f>G33/G11</f>
        <v>-4.1406186571405372E-2</v>
      </c>
      <c r="H34" s="75">
        <f>H33/H11</f>
        <v>5.2029807585363144E-2</v>
      </c>
      <c r="I34" s="76">
        <f>I33/I11</f>
        <v>0.1151268033409263</v>
      </c>
      <c r="J34" s="77">
        <f>J33/J11</f>
        <v>0.13251935830794048</v>
      </c>
      <c r="K34" s="77">
        <f>K33/K11</f>
        <v>0.13318032509312569</v>
      </c>
      <c r="L34" s="77">
        <f>L33/L11</f>
        <v>0.12404276211593283</v>
      </c>
      <c r="M34" s="77">
        <f>M33/M11</f>
        <v>0.13443450273575797</v>
      </c>
      <c r="N34" s="77">
        <f>N33/N11</f>
        <v>0.13593450273575794</v>
      </c>
      <c r="O34" s="77">
        <f>O33/O11</f>
        <v>0.13693450273575797</v>
      </c>
      <c r="P34" s="77">
        <f>P33/P11</f>
        <v>0.13793450273575797</v>
      </c>
      <c r="Q34" s="77">
        <f>Q33/Q11</f>
        <v>0.138934502735758</v>
      </c>
      <c r="R34" s="77">
        <f>R33/R11</f>
        <v>0.13993450273575797</v>
      </c>
    </row>
    <row r="35" spans="1:86" s="53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97"/>
      <c r="K35" s="97"/>
      <c r="L35" s="97"/>
      <c r="M35" s="97"/>
      <c r="N35" s="97"/>
      <c r="O35" s="97"/>
      <c r="P35" s="97"/>
      <c r="Q35" s="97"/>
      <c r="R35" s="97"/>
    </row>
    <row r="36" spans="1:86" s="53" customFormat="1" x14ac:dyDescent="0.25">
      <c r="A36" s="1"/>
      <c r="B36" s="1" t="s">
        <v>17</v>
      </c>
      <c r="C36" s="11">
        <f>'Raw IS'!I33</f>
        <v>864</v>
      </c>
      <c r="D36" s="11">
        <f>'Raw IS'!J33</f>
        <v>527</v>
      </c>
      <c r="E36" s="11">
        <f>'Raw IS'!K33</f>
        <v>905</v>
      </c>
      <c r="F36" s="11">
        <f>'Raw IS'!D33</f>
        <v>-1753</v>
      </c>
      <c r="G36" s="11">
        <f>'Raw IS'!E33</f>
        <v>-593</v>
      </c>
      <c r="H36" s="11">
        <f>'Raw IS'!F33</f>
        <v>253</v>
      </c>
      <c r="I36" s="20">
        <f>I33*I37</f>
        <v>1418.5754319999994</v>
      </c>
      <c r="J36" s="96">
        <f t="shared" ref="J36:R36" si="25">J33*J37</f>
        <v>1753.6800860000003</v>
      </c>
      <c r="K36" s="96">
        <f t="shared" si="25"/>
        <v>1887.7512000000011</v>
      </c>
      <c r="L36" s="96">
        <f t="shared" si="25"/>
        <v>1958.0150000000003</v>
      </c>
      <c r="M36" s="96">
        <f t="shared" si="25"/>
        <v>2088.4400000000005</v>
      </c>
      <c r="N36" s="96">
        <f t="shared" si="25"/>
        <v>2143.4186374999999</v>
      </c>
      <c r="O36" s="96">
        <f t="shared" si="25"/>
        <v>2191.5744624375002</v>
      </c>
      <c r="P36" s="96">
        <f t="shared" si="25"/>
        <v>2240.6926929296874</v>
      </c>
      <c r="Q36" s="96">
        <f t="shared" si="25"/>
        <v>2290.791366082592</v>
      </c>
      <c r="R36" s="96">
        <f t="shared" si="25"/>
        <v>2341.8888435741737</v>
      </c>
    </row>
    <row r="37" spans="1:86" s="53" customFormat="1" x14ac:dyDescent="0.25">
      <c r="A37" s="1"/>
      <c r="B37" s="74" t="s">
        <v>18</v>
      </c>
      <c r="C37" s="78">
        <f>C36/C33</f>
        <v>0.23867403314917127</v>
      </c>
      <c r="D37" s="78">
        <f t="shared" ref="D37:H37" si="26">D36/D33</f>
        <v>0.163107397090684</v>
      </c>
      <c r="E37" s="78">
        <f t="shared" si="26"/>
        <v>0.2103183825238206</v>
      </c>
      <c r="F37" s="78">
        <f t="shared" si="26"/>
        <v>0.27575900582035551</v>
      </c>
      <c r="G37" s="78">
        <f t="shared" si="26"/>
        <v>0.58137254901960789</v>
      </c>
      <c r="H37" s="78">
        <f t="shared" si="26"/>
        <v>0.10816588285592134</v>
      </c>
      <c r="I37" s="79">
        <v>0.2339</v>
      </c>
      <c r="J37" s="99">
        <v>0.23719999999999999</v>
      </c>
      <c r="K37" s="99">
        <v>0.24</v>
      </c>
      <c r="L37" s="99">
        <v>0.25</v>
      </c>
      <c r="M37" s="99">
        <v>0.25</v>
      </c>
      <c r="N37" s="99">
        <v>0.25</v>
      </c>
      <c r="O37" s="99">
        <v>0.25</v>
      </c>
      <c r="P37" s="99">
        <v>0.25</v>
      </c>
      <c r="Q37" s="99">
        <v>0.25</v>
      </c>
      <c r="R37" s="99">
        <v>0.25</v>
      </c>
    </row>
    <row r="38" spans="1:86" s="53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97"/>
      <c r="K38" s="97"/>
      <c r="L38" s="97"/>
      <c r="M38" s="97"/>
      <c r="N38" s="97"/>
      <c r="O38" s="97"/>
      <c r="P38" s="97"/>
      <c r="Q38" s="97"/>
      <c r="R38" s="97"/>
    </row>
    <row r="39" spans="1:86" s="53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7">
        <v>2023</v>
      </c>
      <c r="J39" s="101">
        <v>2024</v>
      </c>
      <c r="K39" s="101">
        <v>2025</v>
      </c>
      <c r="L39" s="101">
        <v>2026</v>
      </c>
      <c r="M39" s="101">
        <v>2027</v>
      </c>
      <c r="N39" s="101">
        <v>2028</v>
      </c>
      <c r="O39" s="101">
        <v>2029</v>
      </c>
      <c r="P39" s="101">
        <v>2030</v>
      </c>
      <c r="Q39" s="101">
        <v>2031</v>
      </c>
      <c r="R39" s="101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3" customFormat="1" x14ac:dyDescent="0.25">
      <c r="A40" s="1"/>
      <c r="B40" s="1" t="s">
        <v>20</v>
      </c>
      <c r="C40" s="11">
        <f>C19</f>
        <v>2096</v>
      </c>
      <c r="D40" s="11">
        <f t="shared" ref="D40:R40" si="27">D19</f>
        <v>2165</v>
      </c>
      <c r="E40" s="11">
        <f t="shared" si="27"/>
        <v>2288</v>
      </c>
      <c r="F40" s="11">
        <f t="shared" si="27"/>
        <v>2488</v>
      </c>
      <c r="G40" s="11">
        <f t="shared" si="27"/>
        <v>2485</v>
      </c>
      <c r="H40" s="11">
        <f t="shared" si="27"/>
        <v>2456</v>
      </c>
      <c r="I40" s="39">
        <f t="shared" si="27"/>
        <v>2680</v>
      </c>
      <c r="J40" s="100">
        <f t="shared" si="27"/>
        <v>2900</v>
      </c>
      <c r="K40" s="100">
        <f t="shared" si="27"/>
        <v>3090</v>
      </c>
      <c r="L40" s="100">
        <f t="shared" si="27"/>
        <v>3470</v>
      </c>
      <c r="M40" s="100">
        <f t="shared" si="27"/>
        <v>3080</v>
      </c>
      <c r="N40" s="100">
        <f t="shared" si="27"/>
        <v>3157.7360499999995</v>
      </c>
      <c r="O40" s="100">
        <f t="shared" si="27"/>
        <v>3269.1202722499993</v>
      </c>
      <c r="P40" s="100">
        <f t="shared" si="27"/>
        <v>3383.1355305562488</v>
      </c>
      <c r="Q40" s="100">
        <f t="shared" si="27"/>
        <v>3499.8356945504297</v>
      </c>
      <c r="R40" s="100">
        <f t="shared" si="27"/>
        <v>3619.2756579700604</v>
      </c>
    </row>
    <row r="41" spans="1:86" s="53" customFormat="1" x14ac:dyDescent="0.25">
      <c r="A41" s="1"/>
      <c r="B41" s="74" t="s">
        <v>16</v>
      </c>
      <c r="C41" s="75">
        <f>C40/C11</f>
        <v>5.5473216176159218E-2</v>
      </c>
      <c r="D41" s="75">
        <f>D40/D11</f>
        <v>5.2417499939471708E-2</v>
      </c>
      <c r="E41" s="75">
        <f>E40/E11</f>
        <v>5.2890727941006493E-2</v>
      </c>
      <c r="F41" s="75">
        <f>F40/F11</f>
        <v>0.1620319114295018</v>
      </c>
      <c r="G41" s="75">
        <f>G40/G11</f>
        <v>0.10087683689210035</v>
      </c>
      <c r="H41" s="75">
        <f>H40/H11</f>
        <v>5.4632410187965746E-2</v>
      </c>
      <c r="I41" s="76">
        <f>I40/I11</f>
        <v>5.0873196659073652E-2</v>
      </c>
      <c r="J41" s="77">
        <f t="shared" ref="J41:R41" si="28">J40/J11</f>
        <v>5.1980641692059501E-2</v>
      </c>
      <c r="K41" s="77">
        <f t="shared" si="28"/>
        <v>5.231967490687435E-2</v>
      </c>
      <c r="L41" s="77">
        <f t="shared" si="28"/>
        <v>5.4957237884067138E-2</v>
      </c>
      <c r="M41" s="77">
        <f t="shared" si="28"/>
        <v>4.9565497264242024E-2</v>
      </c>
      <c r="N41" s="77">
        <f t="shared" si="28"/>
        <v>5.0065497264242025E-2</v>
      </c>
      <c r="O41" s="77">
        <f t="shared" si="28"/>
        <v>5.1065497264242025E-2</v>
      </c>
      <c r="P41" s="77">
        <f t="shared" si="28"/>
        <v>5.2065497264242026E-2</v>
      </c>
      <c r="Q41" s="77">
        <f t="shared" si="28"/>
        <v>5.3065497264242027E-2</v>
      </c>
      <c r="R41" s="77">
        <f t="shared" si="28"/>
        <v>5.4065497264242028E-2</v>
      </c>
    </row>
    <row r="42" spans="1:86" s="5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97"/>
      <c r="K42" s="97"/>
      <c r="L42" s="97"/>
      <c r="M42" s="97"/>
      <c r="N42" s="97"/>
      <c r="O42" s="97"/>
      <c r="P42" s="97"/>
      <c r="Q42" s="97"/>
      <c r="R42" s="97"/>
    </row>
    <row r="43" spans="1:86" s="53" customFormat="1" x14ac:dyDescent="0.25">
      <c r="A43" s="1"/>
      <c r="B43" s="1" t="s">
        <v>21</v>
      </c>
      <c r="C43" s="11">
        <f>'Raw CF'!K26</f>
        <v>-3870</v>
      </c>
      <c r="D43" s="11">
        <f>'Raw CF'!L26</f>
        <v>-4070</v>
      </c>
      <c r="E43" s="11">
        <f>'Raw CF'!M26</f>
        <v>-4528</v>
      </c>
      <c r="F43" s="38">
        <f>'Raw CF'!D25</f>
        <v>-1727</v>
      </c>
      <c r="G43" s="38">
        <f>'Raw CF'!E25</f>
        <v>-2107</v>
      </c>
      <c r="H43" s="38">
        <f>'Raw CF'!F25</f>
        <v>-4819</v>
      </c>
      <c r="I43" s="20">
        <f t="shared" ref="I43:Q43" si="29">I44*I11</f>
        <v>-8720</v>
      </c>
      <c r="J43" s="96">
        <f t="shared" si="29"/>
        <v>-10030</v>
      </c>
      <c r="K43" s="96">
        <f t="shared" si="29"/>
        <v>-7469.9999999999991</v>
      </c>
      <c r="L43" s="96">
        <f t="shared" si="29"/>
        <v>-7640</v>
      </c>
      <c r="M43" s="96">
        <f t="shared" si="29"/>
        <v>-6500</v>
      </c>
      <c r="N43" s="96">
        <f t="shared" si="29"/>
        <v>-5966.7789999999995</v>
      </c>
      <c r="O43" s="96">
        <f t="shared" si="29"/>
        <v>-5992.2625034999992</v>
      </c>
      <c r="P43" s="96">
        <f t="shared" si="29"/>
        <v>-6017.167986829998</v>
      </c>
      <c r="Q43" s="96">
        <f t="shared" si="29"/>
        <v>-6041.4723755966088</v>
      </c>
      <c r="R43" s="96">
        <f>R44*R11</f>
        <v>-6065.1520332291821</v>
      </c>
    </row>
    <row r="44" spans="1:86" s="53" customFormat="1" x14ac:dyDescent="0.25">
      <c r="A44" s="1"/>
      <c r="B44" s="74" t="s">
        <v>16</v>
      </c>
      <c r="C44" s="75">
        <f>C43/C11</f>
        <v>-0.1024243065847978</v>
      </c>
      <c r="D44" s="75">
        <f>D43/D11</f>
        <v>-9.8540057622932956E-2</v>
      </c>
      <c r="E44" s="75">
        <f>E43/E11</f>
        <v>-0.10467186019094292</v>
      </c>
      <c r="F44" s="75">
        <f>F43/F11</f>
        <v>-0.11247150765223055</v>
      </c>
      <c r="G44" s="75">
        <f>G43/G11</f>
        <v>-8.5532191280344241E-2</v>
      </c>
      <c r="H44" s="75">
        <f>H43/H11</f>
        <v>-0.10719608497386275</v>
      </c>
      <c r="I44" s="76">
        <v>-0.16552771450265755</v>
      </c>
      <c r="J44" s="77">
        <v>-0.17978132281770925</v>
      </c>
      <c r="K44" s="77">
        <v>-0.12648154419234672</v>
      </c>
      <c r="L44" s="77">
        <v>-0.12100095026924293</v>
      </c>
      <c r="M44" s="77">
        <v>-0.10460251046025103</v>
      </c>
      <c r="N44" s="77">
        <v>-9.4602510460251032E-2</v>
      </c>
      <c r="O44" s="77">
        <f>N44+0.1%</f>
        <v>-9.3602510460251032E-2</v>
      </c>
      <c r="P44" s="77">
        <f t="shared" ref="P44:R44" si="30">O44+0.1%</f>
        <v>-9.2602510460251031E-2</v>
      </c>
      <c r="Q44" s="77">
        <f t="shared" si="30"/>
        <v>-9.160251046025103E-2</v>
      </c>
      <c r="R44" s="77">
        <f t="shared" si="30"/>
        <v>-9.0602510460251029E-2</v>
      </c>
    </row>
    <row r="45" spans="1:86" s="53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97"/>
      <c r="K45" s="97"/>
      <c r="L45" s="97"/>
      <c r="M45" s="97"/>
      <c r="N45" s="97"/>
      <c r="O45" s="97"/>
      <c r="P45" s="97"/>
      <c r="Q45" s="97"/>
      <c r="R45" s="97"/>
    </row>
    <row r="46" spans="1:86" s="53" customFormat="1" x14ac:dyDescent="0.25">
      <c r="A46" s="1"/>
      <c r="B46" s="1" t="s">
        <v>22</v>
      </c>
      <c r="C46" s="1">
        <f>SUM('Raw CF'!K16:K23)</f>
        <v>-1914</v>
      </c>
      <c r="D46" s="1">
        <f>SUM('Raw CF'!L16:L23)</f>
        <v>762</v>
      </c>
      <c r="E46" s="1">
        <f>SUM('Raw CF'!M16:M23)</f>
        <v>490</v>
      </c>
      <c r="F46" s="69">
        <f>SUM('Raw CF'!D16:D22)</f>
        <v>213</v>
      </c>
      <c r="G46" s="69">
        <f>SUM('Raw CF'!E16:E22)</f>
        <v>1641</v>
      </c>
      <c r="H46" s="69">
        <f>SUM('Raw CF'!F16:F22)</f>
        <v>2179</v>
      </c>
      <c r="I46" s="20">
        <f>I47*I11</f>
        <v>-526.79999999999995</v>
      </c>
      <c r="J46" s="96">
        <f>J47*J11</f>
        <v>278.95000000000005</v>
      </c>
      <c r="K46" s="96">
        <f>K47*K11</f>
        <v>649.66000000000008</v>
      </c>
      <c r="L46" s="96">
        <f>L47*L11</f>
        <v>694.54000000000008</v>
      </c>
      <c r="M46" s="96">
        <f>M47*M11</f>
        <v>683.54000000000008</v>
      </c>
      <c r="N46" s="96">
        <f>N47*N11</f>
        <v>693.79309999999998</v>
      </c>
      <c r="O46" s="96">
        <f>O47*O11</f>
        <v>704.1999965</v>
      </c>
      <c r="P46" s="96">
        <f>P47*P11</f>
        <v>714.76299644749986</v>
      </c>
      <c r="Q46" s="96">
        <f>Q47*Q11</f>
        <v>725.48444139421224</v>
      </c>
      <c r="R46" s="96">
        <f>R47*R11</f>
        <v>736.36670801512525</v>
      </c>
    </row>
    <row r="47" spans="1:86" s="53" customFormat="1" x14ac:dyDescent="0.25">
      <c r="A47" s="1"/>
      <c r="B47" s="74" t="s">
        <v>16</v>
      </c>
      <c r="C47" s="75">
        <f>C46/C11</f>
        <v>-5.0656362481473642E-2</v>
      </c>
      <c r="D47" s="75">
        <f>D46/D11</f>
        <v>1.8449023073384498E-2</v>
      </c>
      <c r="E47" s="75">
        <f>E46/E11</f>
        <v>1.1327122679673594E-2</v>
      </c>
      <c r="F47" s="75">
        <f>F46/F11</f>
        <v>1.3871703028329534E-2</v>
      </c>
      <c r="G47" s="75">
        <f>G46/G11</f>
        <v>6.6615247219290408E-2</v>
      </c>
      <c r="H47" s="75">
        <f>H46/H11</f>
        <v>4.8470692915137358E-2</v>
      </c>
      <c r="I47" s="79">
        <v>-0.01</v>
      </c>
      <c r="J47" s="99">
        <v>5.0000000000000001E-3</v>
      </c>
      <c r="K47" s="99">
        <v>1.0999999999999999E-2</v>
      </c>
      <c r="L47" s="99">
        <v>1.0999999999999999E-2</v>
      </c>
      <c r="M47" s="99">
        <v>1.0999999999999999E-2</v>
      </c>
      <c r="N47" s="99">
        <v>1.0999999999999999E-2</v>
      </c>
      <c r="O47" s="99">
        <v>1.0999999999999999E-2</v>
      </c>
      <c r="P47" s="99">
        <v>1.0999999999999999E-2</v>
      </c>
      <c r="Q47" s="99">
        <v>1.0999999999999999E-2</v>
      </c>
      <c r="R47" s="99">
        <v>1.0999999999999999E-2</v>
      </c>
    </row>
    <row r="48" spans="1:86" s="53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97"/>
      <c r="K48" s="97"/>
      <c r="L48" s="97"/>
      <c r="M48" s="97"/>
      <c r="N48" s="97"/>
      <c r="O48" s="97"/>
      <c r="P48" s="97"/>
      <c r="Q48" s="97"/>
      <c r="R48" s="97"/>
    </row>
    <row r="49" spans="1:86" s="53" customFormat="1" x14ac:dyDescent="0.25">
      <c r="A49" s="1"/>
      <c r="B49" s="9" t="s">
        <v>23</v>
      </c>
      <c r="C49" s="11">
        <f>C33+C36</f>
        <v>4484</v>
      </c>
      <c r="D49" s="11">
        <f t="shared" ref="D49:G49" si="31">D33+D36</f>
        <v>3758</v>
      </c>
      <c r="E49" s="11">
        <f t="shared" si="31"/>
        <v>5208</v>
      </c>
      <c r="F49" s="11">
        <f t="shared" si="31"/>
        <v>-8110</v>
      </c>
      <c r="G49" s="11">
        <f t="shared" si="31"/>
        <v>-1613</v>
      </c>
      <c r="H49" s="11">
        <f>H33+H36</f>
        <v>2592</v>
      </c>
      <c r="I49" s="39">
        <f>I33+I36</f>
        <v>7483.455431999997</v>
      </c>
      <c r="J49" s="100">
        <f t="shared" ref="I49:R49" si="32">J33+J36</f>
        <v>9146.9350860000013</v>
      </c>
      <c r="K49" s="100">
        <f t="shared" si="32"/>
        <v>9753.3812000000053</v>
      </c>
      <c r="L49" s="100">
        <f t="shared" si="32"/>
        <v>9790.0750000000007</v>
      </c>
      <c r="M49" s="100">
        <f t="shared" si="32"/>
        <v>10442.200000000003</v>
      </c>
      <c r="N49" s="100">
        <f t="shared" si="32"/>
        <v>10717.093187499999</v>
      </c>
      <c r="O49" s="100">
        <f t="shared" si="32"/>
        <v>10957.872312187501</v>
      </c>
      <c r="P49" s="100">
        <f t="shared" si="32"/>
        <v>11203.463464648437</v>
      </c>
      <c r="Q49" s="100">
        <f t="shared" si="32"/>
        <v>11453.956830412961</v>
      </c>
      <c r="R49" s="100">
        <f t="shared" si="32"/>
        <v>11709.444217870869</v>
      </c>
    </row>
    <row r="50" spans="1:86" s="53" customFormat="1" x14ac:dyDescent="0.25">
      <c r="A50" s="1"/>
      <c r="B50" s="9" t="s">
        <v>49</v>
      </c>
      <c r="C50" s="11"/>
      <c r="D50" s="11"/>
      <c r="E50" s="11"/>
      <c r="F50" s="11"/>
      <c r="G50" s="11"/>
      <c r="H50" s="11"/>
      <c r="I50" s="39"/>
      <c r="J50" s="100"/>
      <c r="K50" s="100"/>
      <c r="L50" s="100"/>
      <c r="M50" s="100"/>
      <c r="N50" s="100"/>
      <c r="O50" s="100"/>
      <c r="P50" s="100"/>
      <c r="Q50" s="100"/>
      <c r="R50" s="100"/>
    </row>
    <row r="51" spans="1:86" s="53" customFormat="1" x14ac:dyDescent="0.25">
      <c r="A51" s="1"/>
      <c r="B51" s="9" t="s">
        <v>24</v>
      </c>
      <c r="C51" s="11">
        <f>C31-C36</f>
        <v>2161</v>
      </c>
      <c r="D51" s="11">
        <f t="shared" ref="D51:R51" si="33">D31-D36</f>
        <v>2123</v>
      </c>
      <c r="E51" s="11">
        <f t="shared" si="33"/>
        <v>3011</v>
      </c>
      <c r="F51" s="11">
        <f t="shared" si="33"/>
        <v>-7067</v>
      </c>
      <c r="G51" s="11">
        <f t="shared" si="33"/>
        <v>-1962</v>
      </c>
      <c r="H51" s="11">
        <f>H31-H36</f>
        <v>739</v>
      </c>
      <c r="I51" s="39">
        <f>I31-I36</f>
        <v>3065.9045679999981</v>
      </c>
      <c r="J51" s="100">
        <f t="shared" si="33"/>
        <v>3530.7129140000006</v>
      </c>
      <c r="K51" s="100">
        <f t="shared" si="33"/>
        <v>4028.8988000000031</v>
      </c>
      <c r="L51" s="100">
        <f t="shared" si="33"/>
        <v>3960.9030000000002</v>
      </c>
      <c r="M51" s="100">
        <f t="shared" si="33"/>
        <v>4382.478000000001</v>
      </c>
      <c r="N51" s="100">
        <f t="shared" si="33"/>
        <v>3592.0114124999991</v>
      </c>
      <c r="O51" s="100">
        <f t="shared" si="33"/>
        <v>3693.9052198125009</v>
      </c>
      <c r="P51" s="100">
        <f t="shared" si="33"/>
        <v>3798.0476387765625</v>
      </c>
      <c r="Q51" s="100">
        <f t="shared" si="33"/>
        <v>3904.4832016350897</v>
      </c>
      <c r="R51" s="100">
        <f t="shared" si="33"/>
        <v>4013.2572706606452</v>
      </c>
      <c r="S51" s="54">
        <f>R51*(1+$E$6)</f>
        <v>4053.3898433672516</v>
      </c>
      <c r="T51" s="54">
        <f t="shared" ref="T51:CE51" si="34">S51*(1+$E$6)</f>
        <v>4093.9237418009243</v>
      </c>
      <c r="U51" s="54">
        <f t="shared" si="34"/>
        <v>4134.862979218934</v>
      </c>
      <c r="V51" s="54">
        <f t="shared" si="34"/>
        <v>4176.2116090111231</v>
      </c>
      <c r="W51" s="54">
        <f t="shared" si="34"/>
        <v>4217.9737251012348</v>
      </c>
      <c r="X51" s="54">
        <f t="shared" si="34"/>
        <v>4260.1534623522475</v>
      </c>
      <c r="Y51" s="54">
        <f t="shared" si="34"/>
        <v>4302.7549969757702</v>
      </c>
      <c r="Z51" s="54">
        <f t="shared" si="34"/>
        <v>4345.7825469455283</v>
      </c>
      <c r="AA51" s="54">
        <f t="shared" si="34"/>
        <v>4389.2403724149835</v>
      </c>
      <c r="AB51" s="54">
        <f t="shared" si="34"/>
        <v>4433.1327761391331</v>
      </c>
      <c r="AC51" s="54">
        <f t="shared" si="34"/>
        <v>4477.4641039005246</v>
      </c>
      <c r="AD51" s="54">
        <f t="shared" si="34"/>
        <v>4522.2387449395301</v>
      </c>
      <c r="AE51" s="54">
        <f t="shared" si="34"/>
        <v>4567.4611323889258</v>
      </c>
      <c r="AF51" s="54">
        <f t="shared" si="34"/>
        <v>4613.1357437128154</v>
      </c>
      <c r="AG51" s="54">
        <f t="shared" si="34"/>
        <v>4659.2671011499433</v>
      </c>
      <c r="AH51" s="54">
        <f t="shared" si="34"/>
        <v>4705.8597721614424</v>
      </c>
      <c r="AI51" s="54">
        <f t="shared" si="34"/>
        <v>4752.9183698830566</v>
      </c>
      <c r="AJ51" s="54">
        <f t="shared" si="34"/>
        <v>4800.4475535818874</v>
      </c>
      <c r="AK51" s="54">
        <f t="shared" si="34"/>
        <v>4848.4520291177059</v>
      </c>
      <c r="AL51" s="54">
        <f t="shared" si="34"/>
        <v>4896.9365494088834</v>
      </c>
      <c r="AM51" s="54">
        <f t="shared" si="34"/>
        <v>4945.9059149029727</v>
      </c>
      <c r="AN51" s="54">
        <f t="shared" si="34"/>
        <v>4995.3649740520023</v>
      </c>
      <c r="AO51" s="54">
        <f t="shared" si="34"/>
        <v>5045.318623792522</v>
      </c>
      <c r="AP51" s="54">
        <f t="shared" si="34"/>
        <v>5095.7718100304473</v>
      </c>
      <c r="AQ51" s="54">
        <f t="shared" si="34"/>
        <v>5146.7295281307515</v>
      </c>
      <c r="AR51" s="54">
        <f t="shared" si="34"/>
        <v>5198.1968234120595</v>
      </c>
      <c r="AS51" s="54">
        <f t="shared" si="34"/>
        <v>5250.1787916461799</v>
      </c>
      <c r="AT51" s="54">
        <f t="shared" si="34"/>
        <v>5302.6805795626415</v>
      </c>
      <c r="AU51" s="54">
        <f t="shared" si="34"/>
        <v>5355.7073853582679</v>
      </c>
      <c r="AV51" s="54">
        <f t="shared" si="34"/>
        <v>5409.2644592118504</v>
      </c>
      <c r="AW51" s="54">
        <f t="shared" si="34"/>
        <v>5463.357103803969</v>
      </c>
      <c r="AX51" s="54">
        <f t="shared" si="34"/>
        <v>5517.990674842009</v>
      </c>
      <c r="AY51" s="54">
        <f t="shared" si="34"/>
        <v>5573.1705815904288</v>
      </c>
      <c r="AZ51" s="54">
        <f t="shared" si="34"/>
        <v>5628.902287406333</v>
      </c>
      <c r="BA51" s="54">
        <f t="shared" si="34"/>
        <v>5685.1913102803965</v>
      </c>
      <c r="BB51" s="54">
        <f t="shared" si="34"/>
        <v>5742.0432233832007</v>
      </c>
      <c r="BC51" s="54">
        <f t="shared" si="34"/>
        <v>5799.4636556170326</v>
      </c>
      <c r="BD51" s="54">
        <f t="shared" si="34"/>
        <v>5857.4582921732026</v>
      </c>
      <c r="BE51" s="54">
        <f t="shared" si="34"/>
        <v>5916.0328750949348</v>
      </c>
      <c r="BF51" s="54">
        <f t="shared" si="34"/>
        <v>5975.1932038458845</v>
      </c>
      <c r="BG51" s="54">
        <f t="shared" si="34"/>
        <v>6034.9451358843435</v>
      </c>
      <c r="BH51" s="54">
        <f t="shared" si="34"/>
        <v>6095.2945872431874</v>
      </c>
      <c r="BI51" s="54">
        <f t="shared" si="34"/>
        <v>6156.2475331156193</v>
      </c>
      <c r="BJ51" s="54">
        <f t="shared" si="34"/>
        <v>6217.8100084467751</v>
      </c>
      <c r="BK51" s="54">
        <f t="shared" si="34"/>
        <v>6279.9881085312427</v>
      </c>
      <c r="BL51" s="54">
        <f t="shared" si="34"/>
        <v>6342.787989616555</v>
      </c>
      <c r="BM51" s="54">
        <f t="shared" si="34"/>
        <v>6406.2158695127209</v>
      </c>
      <c r="BN51" s="54">
        <f t="shared" si="34"/>
        <v>6470.2780282078484</v>
      </c>
      <c r="BO51" s="54">
        <f t="shared" si="34"/>
        <v>6534.9808084899269</v>
      </c>
      <c r="BP51" s="54">
        <f t="shared" si="34"/>
        <v>6600.3306165748263</v>
      </c>
      <c r="BQ51" s="54">
        <f t="shared" si="34"/>
        <v>6666.333922740575</v>
      </c>
      <c r="BR51" s="54">
        <f t="shared" si="34"/>
        <v>6732.9972619679811</v>
      </c>
      <c r="BS51" s="54">
        <f t="shared" si="34"/>
        <v>6800.3272345876612</v>
      </c>
      <c r="BT51" s="54">
        <f t="shared" si="34"/>
        <v>6868.3305069335383</v>
      </c>
      <c r="BU51" s="54">
        <f t="shared" si="34"/>
        <v>6937.0138120028741</v>
      </c>
      <c r="BV51" s="54">
        <f t="shared" si="34"/>
        <v>7006.3839501229031</v>
      </c>
      <c r="BW51" s="54">
        <f t="shared" si="34"/>
        <v>7076.4477896241324</v>
      </c>
      <c r="BX51" s="54">
        <f t="shared" si="34"/>
        <v>7147.2122675203736</v>
      </c>
      <c r="BY51" s="54">
        <f t="shared" si="34"/>
        <v>7218.6843901955772</v>
      </c>
      <c r="BZ51" s="54">
        <f t="shared" si="34"/>
        <v>7290.8712340975326</v>
      </c>
      <c r="CA51" s="54">
        <f t="shared" si="34"/>
        <v>7363.779946438508</v>
      </c>
      <c r="CB51" s="54">
        <f t="shared" si="34"/>
        <v>7437.4177459028933</v>
      </c>
      <c r="CC51" s="54">
        <f t="shared" si="34"/>
        <v>7511.7919233619223</v>
      </c>
      <c r="CD51" s="54">
        <f t="shared" si="34"/>
        <v>7586.9098425955417</v>
      </c>
      <c r="CE51" s="54">
        <f t="shared" si="34"/>
        <v>7662.7789410214973</v>
      </c>
      <c r="CF51" s="54">
        <f t="shared" ref="CF51:CH51" si="35">CE51*(1+$E$6)</f>
        <v>7739.4067304317123</v>
      </c>
      <c r="CG51" s="54">
        <f t="shared" si="35"/>
        <v>7816.8007977360294</v>
      </c>
      <c r="CH51" s="54">
        <f t="shared" si="35"/>
        <v>7894.9688057133899</v>
      </c>
    </row>
    <row r="52" spans="1:86" s="53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97"/>
      <c r="K52" s="97"/>
      <c r="L52" s="97"/>
      <c r="M52" s="97"/>
      <c r="N52" s="97"/>
      <c r="O52" s="97"/>
      <c r="P52" s="97"/>
      <c r="Q52" s="97"/>
      <c r="R52" s="97"/>
    </row>
    <row r="53" spans="1:86" s="53" customFormat="1" x14ac:dyDescent="0.25">
      <c r="A53" s="1"/>
      <c r="B53" s="9" t="s">
        <v>25</v>
      </c>
      <c r="C53" s="24">
        <f>C49+C43-C46</f>
        <v>2528</v>
      </c>
      <c r="D53" s="24">
        <f>D49+D43-D46</f>
        <v>-1074</v>
      </c>
      <c r="E53" s="24">
        <f>E49+E43-E46</f>
        <v>190</v>
      </c>
      <c r="F53" s="24">
        <f>F49+F43-F46</f>
        <v>-10050</v>
      </c>
      <c r="G53" s="24">
        <f>G49+G43-G46</f>
        <v>-5361</v>
      </c>
      <c r="H53" s="24">
        <f>H49+H43-H46</f>
        <v>-4406</v>
      </c>
      <c r="I53" s="55">
        <f t="shared" ref="I53:R53" si="36">I49+I43-I46</f>
        <v>-709.74456800000303</v>
      </c>
      <c r="J53" s="102">
        <f>J49+J43-J46</f>
        <v>-1162.0149139999987</v>
      </c>
      <c r="K53" s="102">
        <f t="shared" si="36"/>
        <v>1633.7212000000061</v>
      </c>
      <c r="L53" s="102">
        <f t="shared" si="36"/>
        <v>1455.5350000000008</v>
      </c>
      <c r="M53" s="102">
        <f t="shared" si="36"/>
        <v>3258.6600000000026</v>
      </c>
      <c r="N53" s="102">
        <f t="shared" si="36"/>
        <v>4056.5210874999993</v>
      </c>
      <c r="O53" s="102">
        <f t="shared" si="36"/>
        <v>4261.4098121875013</v>
      </c>
      <c r="P53" s="102">
        <f t="shared" si="36"/>
        <v>4471.5324813709394</v>
      </c>
      <c r="Q53" s="102">
        <f t="shared" si="36"/>
        <v>4687.00001342214</v>
      </c>
      <c r="R53" s="102">
        <f t="shared" si="36"/>
        <v>4907.9254766265612</v>
      </c>
    </row>
    <row r="54" spans="1:86" s="53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71">
        <f>I53/((1+$E$5)^I9)</f>
        <v>-641.84242936523674</v>
      </c>
      <c r="J54" s="72">
        <f>J53/((1+$E$5)^J9)</f>
        <v>-950.30801762893748</v>
      </c>
      <c r="K54" s="72">
        <f>K53/((1+$E$5)^K9)</f>
        <v>1208.250494713551</v>
      </c>
      <c r="L54" s="72">
        <f>L53/((1+$E$5)^L9)</f>
        <v>973.48224630897835</v>
      </c>
      <c r="M54" s="72">
        <f>M53/((1+$E$5)^M9)</f>
        <v>1970.9280841264426</v>
      </c>
      <c r="N54" s="72">
        <f>N53/((1+$E$5)^N9)</f>
        <v>2218.767581741497</v>
      </c>
      <c r="O54" s="72">
        <f>O53/((1+$E$5)^O9)</f>
        <v>2107.8403846676965</v>
      </c>
      <c r="P54" s="72">
        <f>P53/((1+$E$5)^P9)</f>
        <v>2000.17113217057</v>
      </c>
      <c r="Q54" s="72">
        <f>Q53/((1+$E$5)^Q9)</f>
        <v>1895.9726382722959</v>
      </c>
      <c r="R54" s="72">
        <f>R53/((1+$E$5)^R9)</f>
        <v>1795.4008069962058</v>
      </c>
    </row>
    <row r="55" spans="1:86" s="53" customFormat="1" x14ac:dyDescent="0.25">
      <c r="A55" s="1"/>
      <c r="B55" s="26"/>
      <c r="C55" s="26"/>
      <c r="D55" s="26"/>
      <c r="E55" s="26"/>
      <c r="F55" s="26"/>
      <c r="G55" s="26"/>
      <c r="H55" s="26"/>
      <c r="I55" s="73"/>
      <c r="J55" s="1"/>
      <c r="K55" s="1"/>
      <c r="L55" s="1"/>
      <c r="M55" s="1"/>
      <c r="N55" s="1"/>
      <c r="O55" s="1"/>
      <c r="P55" s="1"/>
      <c r="Q55" s="1"/>
      <c r="R55" s="1"/>
    </row>
    <row r="56" spans="1:86" s="53" customFormat="1" x14ac:dyDescent="0.25">
      <c r="A56" s="1"/>
      <c r="B56" s="1" t="s">
        <v>27</v>
      </c>
      <c r="C56" s="27">
        <f>(R53*(1+$E$6))/($E$5-$E$6)</f>
        <v>51747.295902137943</v>
      </c>
      <c r="D56" s="1"/>
      <c r="E56" s="1" t="s">
        <v>28</v>
      </c>
      <c r="F56" s="18">
        <f>NPV($E$5,I51:CH51)</f>
        <v>37924.349498766431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3" customFormat="1" x14ac:dyDescent="0.25">
      <c r="A57" s="1"/>
      <c r="B57" s="3" t="s">
        <v>29</v>
      </c>
      <c r="C57" s="28">
        <f>C56/((1+$E$5)^$R$9)</f>
        <v>18930.021913541601</v>
      </c>
      <c r="D57" s="16"/>
      <c r="E57" s="3"/>
      <c r="F57" s="3"/>
      <c r="G57" s="3"/>
      <c r="H57" s="16"/>
      <c r="I57" s="12"/>
      <c r="J57" s="1"/>
      <c r="K57" s="2"/>
      <c r="L57" s="81" t="s">
        <v>57</v>
      </c>
      <c r="M57" s="81"/>
      <c r="N57" s="81"/>
      <c r="O57" s="81"/>
      <c r="P57" s="81"/>
      <c r="Q57" s="81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6"/>
      <c r="L58" s="61">
        <f>E64</f>
        <v>97.861473777778372</v>
      </c>
      <c r="M58" s="80">
        <v>-0.01</v>
      </c>
      <c r="N58" s="80">
        <v>0</v>
      </c>
      <c r="O58" s="80">
        <v>0.01</v>
      </c>
      <c r="P58" s="80">
        <v>0.02</v>
      </c>
      <c r="Q58" s="80">
        <v>0.03</v>
      </c>
    </row>
    <row r="59" spans="1:86" x14ac:dyDescent="0.25">
      <c r="A59" s="1"/>
      <c r="B59" s="30" t="s">
        <v>32</v>
      </c>
      <c r="C59" s="1"/>
      <c r="D59" s="23">
        <f>7634+9522</f>
        <v>17156</v>
      </c>
      <c r="E59" s="1"/>
      <c r="F59" s="1"/>
      <c r="G59" s="27">
        <f>C57+SUM(I54:R54)</f>
        <v>31508.684835544664</v>
      </c>
      <c r="H59" s="18">
        <f>F56</f>
        <v>37924.349498766431</v>
      </c>
      <c r="I59" s="15"/>
      <c r="K59" s="56"/>
      <c r="L59" s="58">
        <f>L60-1%</f>
        <v>7.5792536498279675E-2</v>
      </c>
      <c r="M59" s="62">
        <f t="dataTable" ref="M59:Q63" dt2D="1" dtr="1" r1="E6" r2="E5"/>
        <v>130.28006454564047</v>
      </c>
      <c r="N59" s="62">
        <v>140.96645578269826</v>
      </c>
      <c r="O59" s="62">
        <v>154.74968090881217</v>
      </c>
      <c r="P59" s="62">
        <v>173.12566043880963</v>
      </c>
      <c r="Q59" s="62">
        <v>198.70723124060333</v>
      </c>
    </row>
    <row r="60" spans="1:86" x14ac:dyDescent="0.25">
      <c r="A60" s="1"/>
      <c r="B60" s="31" t="s">
        <v>33</v>
      </c>
      <c r="C60" s="3"/>
      <c r="D60" s="40">
        <f>23635-3858</f>
        <v>19777</v>
      </c>
      <c r="E60" s="3"/>
      <c r="F60" s="3"/>
      <c r="G60" s="3"/>
      <c r="H60" s="3"/>
      <c r="I60" s="15"/>
      <c r="K60" s="57"/>
      <c r="L60" s="58">
        <f>L61-2%</f>
        <v>8.579253649827967E-2</v>
      </c>
      <c r="M60" s="62">
        <v>113.1217151456391</v>
      </c>
      <c r="N60" s="63">
        <v>120.94720967679274</v>
      </c>
      <c r="O60" s="63">
        <v>130.77370201321338</v>
      </c>
      <c r="P60" s="63">
        <v>143.44385510259141</v>
      </c>
      <c r="Q60" s="62">
        <v>160.32878299945673</v>
      </c>
      <c r="R60" s="49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28887.684835544664</v>
      </c>
      <c r="H61" s="33">
        <f>H59+D59-D60</f>
        <v>35303.349498766431</v>
      </c>
      <c r="I61" s="15"/>
      <c r="K61" s="56" t="s">
        <v>1</v>
      </c>
      <c r="L61" s="58">
        <v>0.10579253649827967</v>
      </c>
      <c r="M61" s="62">
        <v>87.98081396874619</v>
      </c>
      <c r="N61" s="63">
        <v>92.459680457804097</v>
      </c>
      <c r="O61" s="64">
        <v>97.861473777778372</v>
      </c>
      <c r="P61" s="63">
        <v>104.49604184506512</v>
      </c>
      <c r="Q61" s="62">
        <v>112.82333865837964</v>
      </c>
    </row>
    <row r="62" spans="1:86" x14ac:dyDescent="0.25">
      <c r="A62" s="1"/>
      <c r="B62" s="3" t="s">
        <v>35</v>
      </c>
      <c r="C62" s="3"/>
      <c r="D62" s="38">
        <f>327968872/1000000</f>
        <v>327.96887199999998</v>
      </c>
      <c r="E62" s="3"/>
      <c r="F62" s="3"/>
      <c r="G62" s="3"/>
      <c r="H62" s="34"/>
      <c r="I62" s="15"/>
      <c r="K62" s="56"/>
      <c r="L62" s="59">
        <f>L61+1%</f>
        <v>0.11579253649827967</v>
      </c>
      <c r="M62" s="62">
        <v>78.542019568955979</v>
      </c>
      <c r="N62" s="63">
        <v>82.019635452017596</v>
      </c>
      <c r="O62" s="63">
        <v>86.149222370549865</v>
      </c>
      <c r="P62" s="63">
        <v>91.129246006964038</v>
      </c>
      <c r="Q62" s="62">
        <v>97.244831271401836</v>
      </c>
    </row>
    <row r="63" spans="1:86" x14ac:dyDescent="0.25">
      <c r="A63" s="1"/>
      <c r="B63" s="17" t="s">
        <v>36</v>
      </c>
      <c r="C63" s="17"/>
      <c r="D63" s="65">
        <f>D62*$J$5</f>
        <v>17677.522200799998</v>
      </c>
      <c r="E63" s="17"/>
      <c r="F63" s="17"/>
      <c r="G63" s="17"/>
      <c r="H63" s="35"/>
      <c r="I63" s="1"/>
      <c r="K63" s="56"/>
      <c r="L63" s="59">
        <f>L62+0.5%</f>
        <v>0.12079253649827967</v>
      </c>
      <c r="M63" s="62">
        <v>74.394835019639501</v>
      </c>
      <c r="N63" s="62">
        <v>77.475773252686935</v>
      </c>
      <c r="O63" s="62">
        <v>81.109189917352012</v>
      </c>
      <c r="P63" s="62">
        <v>85.455691962900403</v>
      </c>
      <c r="Q63" s="62">
        <v>90.742728083487535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97.861473777778372</v>
      </c>
      <c r="F64" s="6"/>
      <c r="G64" s="36">
        <f>G61/D62</f>
        <v>88.08056892528711</v>
      </c>
      <c r="H64" s="37">
        <f>H61/D62</f>
        <v>107.64237863026962</v>
      </c>
      <c r="I64" s="15"/>
    </row>
    <row r="65" spans="2:9" x14ac:dyDescent="0.25">
      <c r="B65" s="42"/>
      <c r="C65" s="42"/>
      <c r="D65" s="42"/>
      <c r="E65" s="42"/>
      <c r="F65" s="42"/>
      <c r="G65" s="42"/>
      <c r="H65" s="42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R34"/>
  <sheetViews>
    <sheetView topLeftCell="A19" workbookViewId="0">
      <selection activeCell="G30" sqref="G30"/>
    </sheetView>
  </sheetViews>
  <sheetFormatPr defaultRowHeight="15" x14ac:dyDescent="0.25"/>
  <cols>
    <col min="1" max="1" width="15.5703125" customWidth="1"/>
    <col min="7" max="7" width="15.5703125" customWidth="1"/>
    <col min="8" max="8" width="23.28515625" customWidth="1"/>
  </cols>
  <sheetData>
    <row r="1" spans="1:18" x14ac:dyDescent="0.25">
      <c r="A1" s="92" t="s">
        <v>58</v>
      </c>
      <c r="B1" s="92"/>
      <c r="C1" s="92"/>
      <c r="D1" s="92"/>
      <c r="E1" s="92"/>
      <c r="F1" s="92"/>
      <c r="H1" s="82" t="s">
        <v>58</v>
      </c>
      <c r="I1" s="82"/>
      <c r="J1" s="82"/>
      <c r="K1" s="82"/>
    </row>
    <row r="4" spans="1:18" x14ac:dyDescent="0.25">
      <c r="A4" s="88"/>
      <c r="B4" s="88"/>
      <c r="C4" s="88"/>
      <c r="D4" s="92" t="s">
        <v>59</v>
      </c>
      <c r="E4" s="92"/>
      <c r="F4" s="92"/>
      <c r="G4" s="92"/>
      <c r="I4" s="82" t="s">
        <v>59</v>
      </c>
      <c r="J4" s="82"/>
      <c r="K4" s="82"/>
      <c r="L4" s="92"/>
      <c r="M4" s="92"/>
      <c r="N4" s="92"/>
      <c r="O4" s="92"/>
      <c r="P4" s="92"/>
      <c r="Q4" s="92"/>
      <c r="R4" s="92"/>
    </row>
    <row r="5" spans="1:18" x14ac:dyDescent="0.25">
      <c r="A5" s="92"/>
      <c r="B5" s="92"/>
      <c r="C5" s="92"/>
      <c r="D5" s="92" t="s">
        <v>62</v>
      </c>
      <c r="E5" s="92" t="s">
        <v>61</v>
      </c>
      <c r="F5" s="92" t="s">
        <v>60</v>
      </c>
      <c r="G5" s="92"/>
      <c r="I5" s="82">
        <v>2017</v>
      </c>
      <c r="J5" s="82">
        <v>2018</v>
      </c>
      <c r="K5" s="82" t="s">
        <v>129</v>
      </c>
      <c r="L5" s="92"/>
      <c r="M5" s="92"/>
      <c r="N5" s="88"/>
      <c r="O5" s="88"/>
      <c r="P5" s="88"/>
      <c r="Q5" s="92"/>
      <c r="R5" s="92"/>
    </row>
    <row r="6" spans="1:18" x14ac:dyDescent="0.25">
      <c r="A6" s="92" t="s">
        <v>63</v>
      </c>
      <c r="B6" s="92"/>
      <c r="C6" s="92"/>
      <c r="D6" s="88"/>
      <c r="E6" s="88"/>
      <c r="F6" s="88"/>
      <c r="G6" s="88"/>
      <c r="H6" t="s">
        <v>63</v>
      </c>
      <c r="L6" s="88"/>
      <c r="M6" s="88"/>
      <c r="N6" s="88"/>
      <c r="O6" s="88"/>
      <c r="P6" s="88"/>
      <c r="Q6" s="88"/>
      <c r="R6" s="88"/>
    </row>
    <row r="7" spans="1:18" x14ac:dyDescent="0.25">
      <c r="A7" s="92" t="s">
        <v>64</v>
      </c>
      <c r="B7" s="92"/>
      <c r="C7" s="92"/>
      <c r="D7" s="87">
        <v>11805</v>
      </c>
      <c r="E7" s="87">
        <v>20197</v>
      </c>
      <c r="F7" s="87">
        <v>40032</v>
      </c>
      <c r="G7" s="87"/>
      <c r="H7" t="s">
        <v>64</v>
      </c>
      <c r="I7" s="93">
        <v>34460</v>
      </c>
      <c r="J7" s="93">
        <v>37706</v>
      </c>
      <c r="K7" s="93">
        <v>39625</v>
      </c>
      <c r="L7" s="87"/>
      <c r="M7" s="88"/>
      <c r="N7" s="88"/>
      <c r="O7" s="88"/>
      <c r="P7" s="88"/>
      <c r="Q7" s="87"/>
    </row>
    <row r="8" spans="1:18" x14ac:dyDescent="0.25">
      <c r="A8" s="92" t="s">
        <v>65</v>
      </c>
      <c r="B8" s="92"/>
      <c r="C8" s="92"/>
      <c r="D8" s="90">
        <v>1648</v>
      </c>
      <c r="E8" s="90">
        <v>2349</v>
      </c>
      <c r="F8" s="90">
        <v>2171</v>
      </c>
      <c r="G8" s="90"/>
      <c r="H8" t="s">
        <v>65</v>
      </c>
      <c r="I8" s="38">
        <v>1114</v>
      </c>
      <c r="J8" s="38">
        <v>1237</v>
      </c>
      <c r="K8" s="38">
        <v>1179</v>
      </c>
      <c r="L8" s="90"/>
      <c r="M8" s="88"/>
      <c r="N8" s="88"/>
      <c r="O8" s="88"/>
      <c r="P8" s="88"/>
      <c r="Q8" s="90"/>
    </row>
    <row r="9" spans="1:18" x14ac:dyDescent="0.25">
      <c r="A9" s="92" t="s">
        <v>66</v>
      </c>
      <c r="B9" s="92"/>
      <c r="C9" s="92"/>
      <c r="D9" s="90">
        <v>1902</v>
      </c>
      <c r="E9" s="90">
        <v>2088</v>
      </c>
      <c r="F9" s="90">
        <v>2752</v>
      </c>
      <c r="G9" s="90"/>
      <c r="H9" t="s">
        <v>66</v>
      </c>
      <c r="I9" s="38">
        <v>2210</v>
      </c>
      <c r="J9" s="38">
        <v>2360</v>
      </c>
      <c r="K9" s="38">
        <v>2455</v>
      </c>
      <c r="L9" s="90"/>
      <c r="M9" s="88"/>
      <c r="N9" s="88"/>
      <c r="O9" s="88"/>
      <c r="P9" s="88"/>
      <c r="Q9" s="90"/>
    </row>
    <row r="10" spans="1:18" x14ac:dyDescent="0.25">
      <c r="A10" s="92" t="s">
        <v>67</v>
      </c>
      <c r="B10" s="92"/>
      <c r="C10" s="92"/>
      <c r="D10" s="90">
        <v>15355</v>
      </c>
      <c r="E10" s="90">
        <v>24634</v>
      </c>
      <c r="F10" s="90">
        <v>44955</v>
      </c>
      <c r="G10" s="90"/>
      <c r="H10" s="82" t="s">
        <v>67</v>
      </c>
      <c r="I10" s="38">
        <v>37784</v>
      </c>
      <c r="J10" s="38">
        <v>41303</v>
      </c>
      <c r="K10" s="38">
        <v>43259</v>
      </c>
      <c r="L10" s="90"/>
      <c r="M10" s="88"/>
      <c r="N10" s="88"/>
      <c r="O10" s="88"/>
      <c r="P10" s="88"/>
      <c r="Q10" s="90"/>
    </row>
    <row r="11" spans="1:18" x14ac:dyDescent="0.25">
      <c r="A11" s="92" t="s">
        <v>68</v>
      </c>
      <c r="B11" s="92"/>
      <c r="C11" s="92"/>
      <c r="D11" s="88"/>
      <c r="E11" s="88"/>
      <c r="F11" s="88"/>
      <c r="G11" s="88"/>
      <c r="H11" t="s">
        <v>68</v>
      </c>
      <c r="L11" s="88"/>
      <c r="M11" s="88"/>
      <c r="N11" s="88"/>
      <c r="O11" s="88"/>
      <c r="P11" s="88"/>
      <c r="Q11" s="88"/>
      <c r="R11" s="88"/>
    </row>
    <row r="12" spans="1:18" x14ac:dyDescent="0.25">
      <c r="A12" s="92" t="s">
        <v>69</v>
      </c>
      <c r="B12" s="92"/>
      <c r="C12" s="92"/>
      <c r="D12" s="90">
        <v>3153</v>
      </c>
      <c r="E12" s="90">
        <v>5755</v>
      </c>
      <c r="F12" s="90">
        <v>13113</v>
      </c>
      <c r="G12" s="90"/>
      <c r="H12" t="s">
        <v>70</v>
      </c>
      <c r="I12" s="38">
        <v>10941</v>
      </c>
      <c r="J12" s="38">
        <v>11458</v>
      </c>
      <c r="K12" s="38">
        <v>12071</v>
      </c>
      <c r="L12" s="90"/>
      <c r="M12" s="88"/>
      <c r="N12" s="88"/>
      <c r="O12" s="88"/>
      <c r="P12" s="88"/>
      <c r="Q12" s="90"/>
    </row>
    <row r="13" spans="1:18" x14ac:dyDescent="0.25">
      <c r="A13" s="92" t="s">
        <v>70</v>
      </c>
      <c r="B13" s="92"/>
      <c r="C13" s="92"/>
      <c r="D13" s="90">
        <v>9522</v>
      </c>
      <c r="E13" s="90">
        <v>9566</v>
      </c>
      <c r="F13" s="90">
        <v>11466</v>
      </c>
      <c r="G13" s="90"/>
      <c r="H13" t="s">
        <v>69</v>
      </c>
      <c r="I13" s="38">
        <v>6913</v>
      </c>
      <c r="J13" s="38">
        <v>9307</v>
      </c>
      <c r="K13" s="38">
        <v>8953</v>
      </c>
      <c r="L13" s="90"/>
      <c r="M13" s="88"/>
      <c r="N13" s="88"/>
      <c r="O13" s="88"/>
      <c r="P13" s="88"/>
      <c r="Q13" s="90"/>
    </row>
    <row r="14" spans="1:18" x14ac:dyDescent="0.25">
      <c r="A14" s="92" t="s">
        <v>71</v>
      </c>
      <c r="B14" s="92"/>
      <c r="C14" s="92"/>
      <c r="D14" s="90">
        <v>2127</v>
      </c>
      <c r="E14" s="90">
        <v>2416</v>
      </c>
      <c r="F14" s="90">
        <v>2576</v>
      </c>
      <c r="G14" s="90"/>
      <c r="H14" t="s">
        <v>72</v>
      </c>
      <c r="I14" s="38">
        <v>2268</v>
      </c>
      <c r="J14" s="38">
        <v>2649</v>
      </c>
      <c r="K14" s="38">
        <v>2849</v>
      </c>
      <c r="L14" s="90"/>
      <c r="M14" s="88"/>
      <c r="N14" s="88"/>
      <c r="O14" s="88"/>
      <c r="P14" s="88"/>
      <c r="Q14" s="90"/>
    </row>
    <row r="15" spans="1:18" x14ac:dyDescent="0.25">
      <c r="A15" s="92" t="s">
        <v>50</v>
      </c>
      <c r="B15" s="92"/>
      <c r="C15" s="92"/>
      <c r="D15" s="90">
        <v>2488</v>
      </c>
      <c r="E15" s="90">
        <v>2485</v>
      </c>
      <c r="F15" s="90">
        <v>2456</v>
      </c>
      <c r="G15" s="90"/>
      <c r="H15" t="s">
        <v>71</v>
      </c>
      <c r="I15" s="38">
        <v>2310</v>
      </c>
      <c r="J15" s="38">
        <v>2449</v>
      </c>
      <c r="K15" s="38">
        <v>2543</v>
      </c>
      <c r="L15" s="90"/>
      <c r="M15" s="88"/>
      <c r="N15" s="88"/>
      <c r="O15" s="88"/>
      <c r="P15" s="88"/>
      <c r="Q15" s="90"/>
    </row>
    <row r="16" spans="1:18" x14ac:dyDescent="0.25">
      <c r="A16" s="92" t="s">
        <v>72</v>
      </c>
      <c r="B16" s="92"/>
      <c r="C16" s="92"/>
      <c r="D16" s="90">
        <v>2039</v>
      </c>
      <c r="E16" s="90">
        <v>2147</v>
      </c>
      <c r="F16" s="90">
        <v>2299</v>
      </c>
      <c r="G16" s="90"/>
      <c r="H16" t="s">
        <v>50</v>
      </c>
      <c r="I16" s="38">
        <v>2096</v>
      </c>
      <c r="J16" s="38">
        <v>2165</v>
      </c>
      <c r="K16" s="38">
        <v>2288</v>
      </c>
      <c r="L16" s="90"/>
      <c r="M16" s="88"/>
      <c r="N16" s="88"/>
      <c r="O16" s="88"/>
      <c r="P16" s="88"/>
      <c r="Q16" s="90"/>
    </row>
    <row r="17" spans="1:18" x14ac:dyDescent="0.25">
      <c r="A17" s="92" t="s">
        <v>73</v>
      </c>
      <c r="B17" s="92"/>
      <c r="C17" s="92"/>
      <c r="D17" s="90">
        <v>858</v>
      </c>
      <c r="E17" s="90">
        <v>1316</v>
      </c>
      <c r="F17" s="90">
        <v>2153</v>
      </c>
      <c r="G17" s="90"/>
      <c r="H17" t="s">
        <v>73</v>
      </c>
      <c r="I17" s="38">
        <v>1856</v>
      </c>
      <c r="J17" s="38">
        <v>1767</v>
      </c>
      <c r="K17" s="38">
        <v>1794</v>
      </c>
      <c r="L17" s="90"/>
      <c r="M17" s="88"/>
      <c r="N17" s="88"/>
      <c r="O17" s="88"/>
      <c r="P17" s="88"/>
      <c r="Q17" s="90"/>
    </row>
    <row r="18" spans="1:18" x14ac:dyDescent="0.25">
      <c r="A18" s="92" t="s">
        <v>74</v>
      </c>
      <c r="B18" s="92"/>
      <c r="C18" s="92"/>
      <c r="D18" s="90">
        <v>459</v>
      </c>
      <c r="E18" s="90">
        <v>677</v>
      </c>
      <c r="F18" s="90">
        <v>1535</v>
      </c>
      <c r="G18" s="90"/>
      <c r="H18" t="s">
        <v>74</v>
      </c>
      <c r="I18" s="38">
        <v>1435</v>
      </c>
      <c r="J18" s="38">
        <v>1558</v>
      </c>
      <c r="K18" s="38">
        <v>1651</v>
      </c>
      <c r="L18" s="90"/>
      <c r="M18" s="88"/>
      <c r="N18" s="88"/>
      <c r="O18" s="88"/>
      <c r="P18" s="88"/>
      <c r="Q18" s="90"/>
    </row>
    <row r="19" spans="1:18" x14ac:dyDescent="0.25">
      <c r="A19" s="92" t="s">
        <v>75</v>
      </c>
      <c r="B19" s="92"/>
      <c r="C19" s="92"/>
      <c r="D19" s="90">
        <v>198</v>
      </c>
      <c r="E19" s="90">
        <v>228</v>
      </c>
      <c r="F19" s="90">
        <v>252</v>
      </c>
      <c r="G19" s="90"/>
      <c r="H19" t="s">
        <v>75</v>
      </c>
      <c r="I19" s="38">
        <v>621</v>
      </c>
      <c r="J19" s="38">
        <v>433</v>
      </c>
      <c r="K19" s="38">
        <v>288</v>
      </c>
      <c r="L19" s="90"/>
      <c r="M19" s="88"/>
      <c r="N19" s="88"/>
      <c r="O19" s="88"/>
      <c r="P19" s="88"/>
      <c r="Q19" s="90"/>
    </row>
    <row r="20" spans="1:18" x14ac:dyDescent="0.25">
      <c r="A20" s="92" t="s">
        <v>76</v>
      </c>
      <c r="B20" s="92"/>
      <c r="C20" s="92"/>
      <c r="D20" s="91">
        <v>-2616</v>
      </c>
      <c r="E20" s="91">
        <v>-3367</v>
      </c>
      <c r="F20" s="90">
        <v>140</v>
      </c>
      <c r="G20" s="90"/>
      <c r="H20" t="s">
        <v>130</v>
      </c>
      <c r="I20" s="38">
        <v>176</v>
      </c>
      <c r="J20" s="38">
        <v>487</v>
      </c>
      <c r="K20" s="38">
        <v>246</v>
      </c>
      <c r="L20" s="91"/>
      <c r="M20" s="88"/>
      <c r="N20" s="88"/>
      <c r="O20" s="88"/>
      <c r="P20" s="88"/>
      <c r="Q20" s="91"/>
    </row>
    <row r="21" spans="1:18" x14ac:dyDescent="0.25">
      <c r="A21" s="92" t="s">
        <v>77</v>
      </c>
      <c r="B21" s="92"/>
      <c r="C21" s="92"/>
      <c r="D21" s="90">
        <v>3484</v>
      </c>
      <c r="E21" s="90">
        <v>4431</v>
      </c>
      <c r="F21" s="90">
        <v>6626</v>
      </c>
      <c r="G21" s="90"/>
      <c r="H21" t="s">
        <v>77</v>
      </c>
      <c r="I21" s="38">
        <v>5548</v>
      </c>
      <c r="J21" s="38">
        <v>5799</v>
      </c>
      <c r="K21" s="38">
        <v>6273</v>
      </c>
      <c r="L21" s="90"/>
      <c r="M21" s="88"/>
      <c r="N21" s="88"/>
      <c r="O21" s="88"/>
      <c r="P21" s="88"/>
      <c r="Q21" s="90"/>
    </row>
    <row r="22" spans="1:18" x14ac:dyDescent="0.25">
      <c r="A22" s="92" t="s">
        <v>78</v>
      </c>
      <c r="B22" s="92"/>
      <c r="C22" s="92"/>
      <c r="D22" s="90">
        <v>21712</v>
      </c>
      <c r="E22" s="90">
        <v>25654</v>
      </c>
      <c r="F22" s="90">
        <v>42616</v>
      </c>
      <c r="G22" s="90"/>
      <c r="H22" s="82" t="s">
        <v>78</v>
      </c>
      <c r="I22" s="38">
        <v>34164</v>
      </c>
      <c r="J22" s="38">
        <v>38072</v>
      </c>
      <c r="K22" s="38">
        <v>38956</v>
      </c>
      <c r="L22" s="90"/>
      <c r="M22" s="88"/>
      <c r="N22" s="88"/>
      <c r="O22" s="88"/>
      <c r="P22" s="88"/>
      <c r="Q22" s="90"/>
    </row>
    <row r="23" spans="1:18" x14ac:dyDescent="0.25">
      <c r="A23" s="92" t="s">
        <v>79</v>
      </c>
      <c r="B23" s="92"/>
      <c r="C23" s="92"/>
      <c r="D23" s="91">
        <v>-6357</v>
      </c>
      <c r="E23" s="91">
        <v>-1020</v>
      </c>
      <c r="F23" s="90">
        <v>2339</v>
      </c>
      <c r="G23" s="90"/>
      <c r="H23" t="s">
        <v>13</v>
      </c>
      <c r="I23" s="38">
        <v>3620</v>
      </c>
      <c r="J23" s="38">
        <v>3231</v>
      </c>
      <c r="K23" s="38">
        <v>4303</v>
      </c>
      <c r="L23" s="91"/>
      <c r="M23" s="88"/>
      <c r="N23" s="88"/>
      <c r="O23" s="88"/>
      <c r="P23" s="88"/>
      <c r="Q23" s="91"/>
    </row>
    <row r="24" spans="1:18" x14ac:dyDescent="0.25">
      <c r="A24" s="88"/>
      <c r="B24" s="88"/>
      <c r="C24" s="88"/>
      <c r="D24" s="88"/>
      <c r="E24" s="88"/>
      <c r="F24" s="88"/>
      <c r="G24" s="88"/>
      <c r="L24" s="88"/>
      <c r="M24" s="88"/>
      <c r="N24" s="88"/>
      <c r="O24" s="88"/>
      <c r="P24" s="88"/>
      <c r="Q24" s="88"/>
      <c r="R24" s="88"/>
    </row>
    <row r="25" spans="1:18" x14ac:dyDescent="0.25">
      <c r="A25" s="92" t="s">
        <v>80</v>
      </c>
      <c r="B25" s="92"/>
      <c r="C25" s="92"/>
      <c r="D25" s="88"/>
      <c r="E25" s="88"/>
      <c r="F25" s="88"/>
      <c r="G25" s="88"/>
      <c r="H25" t="s">
        <v>80</v>
      </c>
      <c r="L25" s="88"/>
      <c r="M25" s="88"/>
      <c r="N25" s="88"/>
      <c r="O25" s="88"/>
      <c r="P25" s="88"/>
      <c r="Q25" s="88"/>
      <c r="R25" s="88"/>
    </row>
    <row r="26" spans="1:18" x14ac:dyDescent="0.25">
      <c r="A26" s="92" t="s">
        <v>81</v>
      </c>
      <c r="B26" s="92"/>
      <c r="C26" s="92"/>
      <c r="D26" s="91">
        <v>-1063</v>
      </c>
      <c r="E26" s="91">
        <v>-1657</v>
      </c>
      <c r="F26" s="91">
        <v>-1778</v>
      </c>
      <c r="G26" s="91"/>
      <c r="H26" t="s">
        <v>81</v>
      </c>
      <c r="I26" s="94">
        <v>-626</v>
      </c>
      <c r="J26" s="94">
        <v>-670</v>
      </c>
      <c r="K26" s="94">
        <v>-731</v>
      </c>
      <c r="L26" s="91"/>
      <c r="M26" s="88"/>
      <c r="N26" s="88"/>
      <c r="O26" s="88"/>
      <c r="P26" s="88"/>
      <c r="Q26" s="91"/>
    </row>
    <row r="27" spans="1:18" x14ac:dyDescent="0.25">
      <c r="A27" s="92" t="s">
        <v>82</v>
      </c>
      <c r="B27" s="92"/>
      <c r="C27" s="92"/>
      <c r="D27" s="90">
        <v>50</v>
      </c>
      <c r="E27" s="90">
        <v>36</v>
      </c>
      <c r="F27" s="90">
        <v>298</v>
      </c>
      <c r="G27" s="90"/>
      <c r="H27" t="s">
        <v>83</v>
      </c>
      <c r="I27" s="38">
        <v>74</v>
      </c>
      <c r="J27" s="38">
        <v>65</v>
      </c>
      <c r="K27" s="38">
        <v>85</v>
      </c>
      <c r="L27" s="90"/>
      <c r="M27" s="88"/>
      <c r="N27" s="88"/>
      <c r="O27" s="88"/>
      <c r="P27" s="88"/>
      <c r="Q27" s="90"/>
    </row>
    <row r="28" spans="1:18" x14ac:dyDescent="0.25">
      <c r="A28" s="92" t="s">
        <v>83</v>
      </c>
      <c r="B28" s="92"/>
      <c r="C28" s="92"/>
      <c r="D28" s="90">
        <v>71</v>
      </c>
      <c r="E28" s="90">
        <v>80</v>
      </c>
      <c r="F28" s="90">
        <v>105</v>
      </c>
      <c r="G28" s="90"/>
      <c r="H28" t="s">
        <v>82</v>
      </c>
      <c r="I28" s="38">
        <v>57</v>
      </c>
      <c r="J28" s="38">
        <v>101</v>
      </c>
      <c r="K28" s="38">
        <v>133</v>
      </c>
      <c r="L28" s="90"/>
      <c r="M28" s="88"/>
      <c r="N28" s="88"/>
      <c r="O28" s="88"/>
      <c r="P28" s="88"/>
      <c r="Q28" s="90"/>
    </row>
    <row r="29" spans="1:18" x14ac:dyDescent="0.25">
      <c r="A29" s="92" t="s">
        <v>84</v>
      </c>
      <c r="B29" s="92"/>
      <c r="C29" s="92"/>
      <c r="D29" s="91">
        <v>-194</v>
      </c>
      <c r="E29" s="91">
        <v>-34</v>
      </c>
      <c r="F29" s="90">
        <v>20</v>
      </c>
      <c r="G29" s="90"/>
      <c r="H29" t="s">
        <v>84</v>
      </c>
      <c r="I29" t="s">
        <v>116</v>
      </c>
      <c r="J29" s="94">
        <v>-5</v>
      </c>
      <c r="K29" s="38">
        <v>153</v>
      </c>
      <c r="L29" s="91"/>
      <c r="M29" s="88"/>
      <c r="N29" s="88"/>
      <c r="O29" s="88"/>
      <c r="P29" s="88"/>
      <c r="Q29" s="91"/>
    </row>
    <row r="30" spans="1:18" x14ac:dyDescent="0.25">
      <c r="A30" s="92" t="s">
        <v>85</v>
      </c>
      <c r="B30" s="92"/>
      <c r="C30" s="92"/>
      <c r="D30" s="91">
        <v>-1327</v>
      </c>
      <c r="E30" s="90">
        <v>40</v>
      </c>
      <c r="F30" s="90">
        <v>8</v>
      </c>
      <c r="G30" s="90"/>
      <c r="H30" t="s">
        <v>85</v>
      </c>
      <c r="I30" s="94">
        <v>-100</v>
      </c>
      <c r="J30" s="94">
        <v>-72</v>
      </c>
      <c r="K30" s="94">
        <v>-27</v>
      </c>
      <c r="L30" s="90"/>
      <c r="M30" s="88"/>
      <c r="N30" s="88"/>
      <c r="O30" s="88"/>
      <c r="P30" s="88"/>
      <c r="Q30" s="91"/>
    </row>
    <row r="31" spans="1:18" x14ac:dyDescent="0.25">
      <c r="A31" s="92" t="s">
        <v>86</v>
      </c>
      <c r="B31" s="92"/>
      <c r="C31" s="92"/>
      <c r="D31" s="91">
        <v>-2463</v>
      </c>
      <c r="E31" s="91">
        <v>-1535</v>
      </c>
      <c r="F31" s="91">
        <v>-1347</v>
      </c>
      <c r="G31" s="91"/>
      <c r="H31" s="82" t="s">
        <v>86</v>
      </c>
      <c r="I31" s="94">
        <v>-595</v>
      </c>
      <c r="J31" s="94">
        <v>-581</v>
      </c>
      <c r="K31" s="94">
        <v>-387</v>
      </c>
      <c r="L31" s="91"/>
      <c r="M31" s="88"/>
      <c r="N31" s="88"/>
      <c r="O31" s="88"/>
      <c r="P31" s="88"/>
      <c r="Q31" s="91"/>
    </row>
    <row r="32" spans="1:18" x14ac:dyDescent="0.25">
      <c r="A32" s="92" t="s">
        <v>87</v>
      </c>
      <c r="B32" s="92"/>
      <c r="C32" s="92"/>
      <c r="D32" s="91">
        <v>-8820</v>
      </c>
      <c r="E32" s="91">
        <v>-2555</v>
      </c>
      <c r="F32" s="90">
        <v>992</v>
      </c>
      <c r="G32" s="90"/>
      <c r="H32" t="s">
        <v>131</v>
      </c>
      <c r="I32" s="38">
        <v>3025</v>
      </c>
      <c r="J32" s="38">
        <v>2650</v>
      </c>
      <c r="K32" s="38">
        <v>3916</v>
      </c>
      <c r="L32" s="91"/>
      <c r="M32" s="88"/>
      <c r="N32" s="88"/>
      <c r="O32" s="88"/>
      <c r="P32" s="88"/>
      <c r="Q32" s="91"/>
    </row>
    <row r="33" spans="1:17" x14ac:dyDescent="0.25">
      <c r="A33" s="92" t="s">
        <v>88</v>
      </c>
      <c r="B33" s="92"/>
      <c r="C33" s="92"/>
      <c r="D33" s="91">
        <v>-1753</v>
      </c>
      <c r="E33" s="91">
        <v>-593</v>
      </c>
      <c r="F33" s="90">
        <v>253</v>
      </c>
      <c r="G33" s="90"/>
      <c r="H33" t="s">
        <v>132</v>
      </c>
      <c r="I33" s="38">
        <v>864</v>
      </c>
      <c r="J33" s="38">
        <v>527</v>
      </c>
      <c r="K33" s="38">
        <v>905</v>
      </c>
      <c r="L33" s="91"/>
      <c r="M33" s="88"/>
      <c r="N33" s="88"/>
      <c r="O33" s="88"/>
      <c r="P33" s="88"/>
      <c r="Q33" s="91"/>
    </row>
    <row r="34" spans="1:17" x14ac:dyDescent="0.25">
      <c r="A34" s="92" t="s">
        <v>51</v>
      </c>
      <c r="B34" s="92"/>
      <c r="C34" s="92"/>
      <c r="D34" s="89">
        <v>-7067</v>
      </c>
      <c r="E34" s="89">
        <v>-1962</v>
      </c>
      <c r="F34" s="87">
        <v>739</v>
      </c>
      <c r="G34" s="87"/>
      <c r="H34" t="s">
        <v>24</v>
      </c>
      <c r="I34" s="93">
        <v>2161</v>
      </c>
      <c r="J34" s="93">
        <v>2123</v>
      </c>
      <c r="K34" s="93">
        <v>3011</v>
      </c>
      <c r="L34" s="89"/>
      <c r="M34" s="88"/>
      <c r="N34" s="88"/>
      <c r="O34" s="88"/>
      <c r="P34" s="88"/>
      <c r="Q34" s="89"/>
    </row>
  </sheetData>
  <sortState xmlns:xlrd2="http://schemas.microsoft.com/office/spreadsheetml/2017/richdata2" columnSort="1" ref="D5:R34">
    <sortCondition ref="D5:R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R55"/>
  <sheetViews>
    <sheetView topLeftCell="A10" workbookViewId="0">
      <selection activeCell="E13" sqref="E13"/>
    </sheetView>
  </sheetViews>
  <sheetFormatPr defaultRowHeight="15" x14ac:dyDescent="0.25"/>
  <cols>
    <col min="4" max="6" width="12.140625" customWidth="1"/>
    <col min="10" max="10" width="71" customWidth="1"/>
  </cols>
  <sheetData>
    <row r="1" spans="1:18" x14ac:dyDescent="0.25">
      <c r="A1" s="92" t="s">
        <v>89</v>
      </c>
      <c r="B1" s="92"/>
      <c r="C1" s="92"/>
      <c r="D1" s="92"/>
      <c r="E1" s="92"/>
      <c r="F1" s="92"/>
      <c r="J1" s="82" t="s">
        <v>89</v>
      </c>
      <c r="K1" s="82"/>
      <c r="L1" s="82"/>
      <c r="M1" s="82"/>
    </row>
    <row r="2" spans="1:18" x14ac:dyDescent="0.25">
      <c r="A2" s="88"/>
      <c r="B2" s="88"/>
    </row>
    <row r="4" spans="1:18" x14ac:dyDescent="0.25">
      <c r="A4" s="88"/>
      <c r="B4" s="88"/>
      <c r="C4" s="88"/>
      <c r="D4" s="92" t="s">
        <v>59</v>
      </c>
      <c r="E4" s="92"/>
      <c r="F4" s="92"/>
      <c r="G4" s="92"/>
      <c r="H4" s="92"/>
      <c r="I4" s="92"/>
      <c r="N4" s="92"/>
      <c r="O4" s="92"/>
      <c r="P4" s="92"/>
      <c r="Q4" s="92"/>
      <c r="R4" s="92"/>
    </row>
    <row r="5" spans="1:18" x14ac:dyDescent="0.25">
      <c r="A5" s="88"/>
      <c r="B5" s="88"/>
      <c r="C5" s="88"/>
      <c r="D5" s="82" t="s">
        <v>62</v>
      </c>
      <c r="E5" s="82" t="s">
        <v>61</v>
      </c>
      <c r="F5" s="82" t="s">
        <v>60</v>
      </c>
      <c r="G5" s="82"/>
      <c r="H5" s="82"/>
      <c r="K5" s="82" t="s">
        <v>59</v>
      </c>
      <c r="L5" s="82"/>
      <c r="M5" s="82"/>
      <c r="Q5" s="82"/>
      <c r="R5" s="82"/>
    </row>
    <row r="6" spans="1:18" x14ac:dyDescent="0.25">
      <c r="A6" s="92" t="s">
        <v>90</v>
      </c>
      <c r="B6" s="92"/>
      <c r="C6" s="92"/>
      <c r="K6" s="82">
        <v>2017</v>
      </c>
      <c r="L6" s="82">
        <v>2018</v>
      </c>
      <c r="M6" s="82" t="s">
        <v>129</v>
      </c>
    </row>
    <row r="7" spans="1:18" x14ac:dyDescent="0.25">
      <c r="A7" s="92" t="s">
        <v>51</v>
      </c>
      <c r="B7" s="92"/>
      <c r="C7" s="92"/>
      <c r="D7" s="86">
        <v>-7067</v>
      </c>
      <c r="E7" s="86">
        <v>-1962</v>
      </c>
      <c r="F7" s="83">
        <v>739</v>
      </c>
      <c r="G7" s="83"/>
      <c r="J7" t="s">
        <v>90</v>
      </c>
      <c r="Q7" s="86"/>
    </row>
    <row r="8" spans="1:18" x14ac:dyDescent="0.25">
      <c r="A8" s="92" t="s">
        <v>91</v>
      </c>
      <c r="B8" s="92"/>
      <c r="C8" s="92"/>
      <c r="J8" t="s">
        <v>24</v>
      </c>
      <c r="K8" s="93">
        <v>2161</v>
      </c>
      <c r="L8" s="93">
        <v>2123</v>
      </c>
      <c r="M8" s="93">
        <v>3011</v>
      </c>
    </row>
    <row r="9" spans="1:18" x14ac:dyDescent="0.25">
      <c r="A9" s="92" t="s">
        <v>92</v>
      </c>
      <c r="B9" s="92"/>
      <c r="C9" s="92"/>
      <c r="D9" s="85">
        <v>-1741</v>
      </c>
      <c r="E9" s="85">
        <v>-583</v>
      </c>
      <c r="F9" s="84">
        <v>248</v>
      </c>
      <c r="G9" s="84"/>
      <c r="J9" t="s">
        <v>133</v>
      </c>
      <c r="Q9" s="85"/>
    </row>
    <row r="10" spans="1:18" x14ac:dyDescent="0.25">
      <c r="A10" s="92" t="s">
        <v>50</v>
      </c>
      <c r="B10" s="92"/>
      <c r="C10" s="92"/>
      <c r="D10" s="84">
        <v>2488</v>
      </c>
      <c r="E10" s="84">
        <v>2485</v>
      </c>
      <c r="F10" s="84">
        <v>2456</v>
      </c>
      <c r="G10" s="84"/>
      <c r="J10" t="s">
        <v>52</v>
      </c>
      <c r="K10" s="38">
        <v>941</v>
      </c>
      <c r="L10" s="38">
        <v>513</v>
      </c>
      <c r="M10" s="38">
        <v>882</v>
      </c>
      <c r="Q10" s="84"/>
    </row>
    <row r="11" spans="1:18" x14ac:dyDescent="0.25">
      <c r="A11" s="92" t="s">
        <v>93</v>
      </c>
      <c r="B11" s="92"/>
      <c r="C11" s="92"/>
      <c r="D11" s="84">
        <v>1448</v>
      </c>
      <c r="E11" s="84">
        <v>32</v>
      </c>
      <c r="F11" s="84">
        <v>16</v>
      </c>
      <c r="G11" s="84"/>
      <c r="J11" t="s">
        <v>50</v>
      </c>
      <c r="K11" s="38">
        <v>2096</v>
      </c>
      <c r="L11" s="38">
        <v>2165</v>
      </c>
      <c r="M11" s="38">
        <v>2288</v>
      </c>
      <c r="Q11" s="84"/>
    </row>
    <row r="12" spans="1:18" x14ac:dyDescent="0.25">
      <c r="A12" s="92" t="s">
        <v>94</v>
      </c>
      <c r="B12" s="92"/>
      <c r="C12" s="92"/>
      <c r="D12" s="84">
        <v>194</v>
      </c>
      <c r="E12" s="84">
        <v>34</v>
      </c>
      <c r="F12" s="85">
        <v>-20</v>
      </c>
      <c r="G12" s="85"/>
      <c r="J12" t="s">
        <v>134</v>
      </c>
      <c r="K12" s="38">
        <v>35</v>
      </c>
      <c r="L12" s="38">
        <v>416</v>
      </c>
      <c r="M12" s="38">
        <v>175</v>
      </c>
      <c r="Q12" s="84"/>
    </row>
    <row r="13" spans="1:18" x14ac:dyDescent="0.25">
      <c r="A13" s="92" t="s">
        <v>95</v>
      </c>
      <c r="B13" s="92"/>
      <c r="C13" s="92"/>
      <c r="D13" s="84">
        <v>94</v>
      </c>
      <c r="E13" s="84">
        <v>171</v>
      </c>
      <c r="F13" s="84">
        <v>156</v>
      </c>
      <c r="G13" s="84"/>
      <c r="J13" t="s">
        <v>94</v>
      </c>
      <c r="K13" t="s">
        <v>116</v>
      </c>
      <c r="L13" s="38">
        <v>5</v>
      </c>
      <c r="M13" s="94">
        <v>-153</v>
      </c>
      <c r="Q13" s="84"/>
    </row>
    <row r="14" spans="1:18" x14ac:dyDescent="0.25">
      <c r="A14" s="92" t="s">
        <v>96</v>
      </c>
      <c r="B14" s="92"/>
      <c r="C14" s="92"/>
      <c r="D14" s="84">
        <v>226</v>
      </c>
      <c r="E14" s="84">
        <v>222</v>
      </c>
      <c r="F14" s="84">
        <v>218</v>
      </c>
      <c r="G14" s="84"/>
      <c r="J14" t="s">
        <v>96</v>
      </c>
      <c r="K14" s="38">
        <v>141</v>
      </c>
      <c r="L14" s="38">
        <v>162</v>
      </c>
      <c r="M14" s="38">
        <v>186</v>
      </c>
      <c r="Q14" s="84"/>
    </row>
    <row r="15" spans="1:18" x14ac:dyDescent="0.25">
      <c r="A15" s="92" t="s">
        <v>97</v>
      </c>
      <c r="B15" s="92"/>
      <c r="C15" s="92"/>
      <c r="J15" t="s">
        <v>97</v>
      </c>
    </row>
    <row r="16" spans="1:18" x14ac:dyDescent="0.25">
      <c r="A16" s="92" t="s">
        <v>98</v>
      </c>
      <c r="B16" s="92"/>
      <c r="C16" s="92"/>
      <c r="D16" s="84">
        <v>135</v>
      </c>
      <c r="E16" s="85">
        <v>-448</v>
      </c>
      <c r="F16" s="85">
        <v>-158</v>
      </c>
      <c r="G16" s="85"/>
      <c r="J16" t="s">
        <v>135</v>
      </c>
      <c r="K16" s="94">
        <v>-73</v>
      </c>
      <c r="L16" s="38">
        <v>17</v>
      </c>
      <c r="M16" s="38">
        <v>44</v>
      </c>
      <c r="Q16" s="84"/>
    </row>
    <row r="17" spans="1:17" x14ac:dyDescent="0.25">
      <c r="A17" s="92" t="s">
        <v>99</v>
      </c>
      <c r="B17" s="92"/>
      <c r="C17" s="92"/>
      <c r="D17" s="85">
        <v>-14</v>
      </c>
      <c r="E17" s="85">
        <v>-28</v>
      </c>
      <c r="F17" s="85">
        <v>-76</v>
      </c>
      <c r="G17" s="85"/>
      <c r="J17" t="s">
        <v>99</v>
      </c>
      <c r="K17" s="94">
        <v>-15</v>
      </c>
      <c r="L17" s="94">
        <v>-20</v>
      </c>
      <c r="M17" s="94">
        <v>-33</v>
      </c>
      <c r="Q17" s="85"/>
    </row>
    <row r="18" spans="1:17" x14ac:dyDescent="0.25">
      <c r="A18" s="92" t="s">
        <v>100</v>
      </c>
      <c r="B18" s="92"/>
      <c r="C18" s="92"/>
      <c r="D18" s="84">
        <v>484</v>
      </c>
      <c r="E18" s="85">
        <v>-293</v>
      </c>
      <c r="F18" s="85">
        <v>-86</v>
      </c>
      <c r="G18" s="85"/>
      <c r="J18" t="s">
        <v>100</v>
      </c>
      <c r="K18" s="94">
        <v>-432</v>
      </c>
      <c r="L18" s="38">
        <v>265</v>
      </c>
      <c r="M18" s="94">
        <v>-252</v>
      </c>
      <c r="Q18" s="84"/>
    </row>
    <row r="19" spans="1:17" x14ac:dyDescent="0.25">
      <c r="A19" s="92" t="s">
        <v>101</v>
      </c>
      <c r="B19" s="92"/>
      <c r="C19" s="92"/>
      <c r="D19" s="84">
        <v>14</v>
      </c>
      <c r="E19" s="84">
        <v>1521</v>
      </c>
      <c r="F19" s="84">
        <v>1200</v>
      </c>
      <c r="G19" s="84"/>
      <c r="J19" t="s">
        <v>101</v>
      </c>
      <c r="K19" s="38">
        <v>145</v>
      </c>
      <c r="L19" s="38">
        <v>441</v>
      </c>
      <c r="M19" s="38">
        <v>438</v>
      </c>
      <c r="Q19" s="84"/>
    </row>
    <row r="20" spans="1:17" x14ac:dyDescent="0.25">
      <c r="A20" s="92" t="s">
        <v>102</v>
      </c>
      <c r="B20" s="92"/>
      <c r="C20" s="92"/>
      <c r="D20" s="84">
        <v>699</v>
      </c>
      <c r="E20" s="84">
        <v>307</v>
      </c>
      <c r="F20" s="84">
        <v>393</v>
      </c>
      <c r="G20" s="84"/>
      <c r="J20" t="s">
        <v>136</v>
      </c>
      <c r="K20" s="94">
        <v>-107</v>
      </c>
      <c r="L20" s="38">
        <v>222</v>
      </c>
      <c r="M20" s="38">
        <v>271</v>
      </c>
      <c r="Q20" s="84"/>
    </row>
    <row r="21" spans="1:17" x14ac:dyDescent="0.25">
      <c r="A21" s="92" t="s">
        <v>103</v>
      </c>
      <c r="B21" s="92"/>
      <c r="C21" s="92"/>
      <c r="D21" s="85">
        <v>-1079</v>
      </c>
      <c r="E21" s="84">
        <v>985</v>
      </c>
      <c r="F21" s="84">
        <v>796</v>
      </c>
      <c r="G21" s="84"/>
      <c r="J21" t="s">
        <v>137</v>
      </c>
      <c r="K21" s="38">
        <v>66</v>
      </c>
      <c r="L21" s="38">
        <v>130</v>
      </c>
      <c r="M21" s="38">
        <v>324</v>
      </c>
      <c r="Q21" s="85"/>
    </row>
    <row r="22" spans="1:17" x14ac:dyDescent="0.25">
      <c r="A22" s="92" t="s">
        <v>104</v>
      </c>
      <c r="B22" s="92"/>
      <c r="C22" s="92"/>
      <c r="D22" s="85">
        <v>-26</v>
      </c>
      <c r="E22" s="85">
        <v>-403</v>
      </c>
      <c r="F22" s="84">
        <v>110</v>
      </c>
      <c r="G22" s="84"/>
      <c r="J22" t="s">
        <v>138</v>
      </c>
      <c r="K22" s="94">
        <v>-942</v>
      </c>
      <c r="L22" t="s">
        <v>116</v>
      </c>
      <c r="M22" t="s">
        <v>116</v>
      </c>
      <c r="Q22" s="85"/>
    </row>
    <row r="23" spans="1:17" x14ac:dyDescent="0.25">
      <c r="A23" s="92" t="s">
        <v>105</v>
      </c>
      <c r="B23" s="92"/>
      <c r="C23" s="92"/>
      <c r="D23" s="85">
        <v>-4145</v>
      </c>
      <c r="E23" s="84">
        <v>2040</v>
      </c>
      <c r="F23" s="84">
        <v>5992</v>
      </c>
      <c r="G23" s="84"/>
      <c r="J23" t="s">
        <v>139</v>
      </c>
      <c r="K23" s="94">
        <v>-556</v>
      </c>
      <c r="L23" s="94">
        <v>-293</v>
      </c>
      <c r="M23" s="94">
        <v>-302</v>
      </c>
      <c r="Q23" s="85"/>
    </row>
    <row r="24" spans="1:17" x14ac:dyDescent="0.25">
      <c r="A24" s="92" t="s">
        <v>106</v>
      </c>
      <c r="B24" s="92"/>
      <c r="C24" s="92"/>
      <c r="J24" t="s">
        <v>140</v>
      </c>
      <c r="K24" s="38">
        <v>3460</v>
      </c>
      <c r="L24" s="38">
        <v>6146</v>
      </c>
      <c r="M24" s="38">
        <v>6879</v>
      </c>
    </row>
    <row r="25" spans="1:17" x14ac:dyDescent="0.25">
      <c r="A25" s="92" t="s">
        <v>107</v>
      </c>
      <c r="B25" s="92"/>
      <c r="C25" s="92"/>
      <c r="D25" s="85">
        <v>-1727</v>
      </c>
      <c r="E25" s="85">
        <v>-2107</v>
      </c>
      <c r="F25" s="85">
        <v>-4819</v>
      </c>
      <c r="G25" s="85"/>
      <c r="J25" t="s">
        <v>106</v>
      </c>
      <c r="Q25" s="85"/>
    </row>
    <row r="26" spans="1:17" x14ac:dyDescent="0.25">
      <c r="A26" s="92" t="s">
        <v>108</v>
      </c>
      <c r="B26" s="92"/>
      <c r="C26" s="92"/>
      <c r="D26" s="85">
        <v>-552</v>
      </c>
      <c r="E26" s="85">
        <v>-68</v>
      </c>
      <c r="F26" s="85">
        <v>-11232</v>
      </c>
      <c r="G26" s="85"/>
      <c r="J26" t="s">
        <v>141</v>
      </c>
      <c r="K26" s="94">
        <v>-3870</v>
      </c>
      <c r="L26" s="94">
        <v>-4070</v>
      </c>
      <c r="M26" s="94">
        <v>-4528</v>
      </c>
      <c r="Q26" s="85"/>
    </row>
    <row r="27" spans="1:17" x14ac:dyDescent="0.25">
      <c r="A27" s="92" t="s">
        <v>109</v>
      </c>
      <c r="B27" s="92"/>
      <c r="C27" s="92"/>
      <c r="D27" s="84">
        <v>2319</v>
      </c>
      <c r="E27" s="84">
        <v>397</v>
      </c>
      <c r="F27" s="84">
        <v>2084</v>
      </c>
      <c r="G27" s="84"/>
      <c r="J27" t="s">
        <v>108</v>
      </c>
      <c r="K27" s="94">
        <v>-3241</v>
      </c>
      <c r="L27" s="94">
        <v>-2552</v>
      </c>
      <c r="M27" s="94">
        <v>-2897</v>
      </c>
      <c r="Q27" s="84"/>
    </row>
    <row r="28" spans="1:17" x14ac:dyDescent="0.25">
      <c r="A28" s="92" t="s">
        <v>110</v>
      </c>
      <c r="B28" s="92"/>
      <c r="C28" s="92"/>
      <c r="D28" s="84">
        <v>6</v>
      </c>
      <c r="E28" s="84">
        <v>107</v>
      </c>
      <c r="F28" s="84">
        <v>207</v>
      </c>
      <c r="G28" s="84"/>
      <c r="J28" t="s">
        <v>109</v>
      </c>
      <c r="K28" s="38">
        <v>3177</v>
      </c>
      <c r="L28" s="38">
        <v>2616</v>
      </c>
      <c r="M28" s="38">
        <v>2996</v>
      </c>
      <c r="Q28" s="84"/>
    </row>
    <row r="29" spans="1:17" x14ac:dyDescent="0.25">
      <c r="J29" t="s">
        <v>142</v>
      </c>
      <c r="K29" s="94">
        <v>-30</v>
      </c>
      <c r="L29" s="94">
        <v>-466</v>
      </c>
      <c r="M29" s="94">
        <v>-174</v>
      </c>
    </row>
    <row r="30" spans="1:17" x14ac:dyDescent="0.25">
      <c r="A30" s="92" t="s">
        <v>53</v>
      </c>
      <c r="B30" s="92"/>
      <c r="C30" s="92"/>
      <c r="D30" s="84">
        <v>4</v>
      </c>
      <c r="E30" s="85">
        <v>-1</v>
      </c>
      <c r="F30" s="85">
        <v>-69</v>
      </c>
      <c r="G30" s="85"/>
      <c r="J30" t="s">
        <v>143</v>
      </c>
      <c r="K30" s="94">
        <v>-2</v>
      </c>
      <c r="L30" s="94">
        <v>-139</v>
      </c>
      <c r="M30" s="94">
        <v>-36</v>
      </c>
      <c r="Q30" s="84"/>
    </row>
    <row r="31" spans="1:17" x14ac:dyDescent="0.25">
      <c r="A31" s="92" t="s">
        <v>111</v>
      </c>
      <c r="B31" s="92"/>
      <c r="C31" s="92"/>
      <c r="D31" s="84">
        <v>50</v>
      </c>
      <c r="E31" s="85">
        <v>-1672</v>
      </c>
      <c r="F31" s="85">
        <v>-13829</v>
      </c>
      <c r="G31" s="85"/>
      <c r="J31" t="s">
        <v>53</v>
      </c>
      <c r="K31" s="38">
        <v>163</v>
      </c>
      <c r="L31" s="38">
        <v>156</v>
      </c>
      <c r="M31" s="38">
        <v>79</v>
      </c>
      <c r="Q31" s="84"/>
    </row>
    <row r="32" spans="1:17" x14ac:dyDescent="0.25">
      <c r="A32" s="92" t="s">
        <v>112</v>
      </c>
      <c r="B32" s="92"/>
      <c r="C32" s="92"/>
      <c r="J32" t="s">
        <v>144</v>
      </c>
      <c r="K32" s="94">
        <v>-3803</v>
      </c>
      <c r="L32" s="94">
        <v>-4455</v>
      </c>
      <c r="M32" s="94">
        <v>-4560</v>
      </c>
    </row>
    <row r="33" spans="1:17" x14ac:dyDescent="0.25">
      <c r="A33" s="92" t="s">
        <v>113</v>
      </c>
      <c r="B33" s="92"/>
      <c r="C33" s="92"/>
      <c r="D33" s="84">
        <v>15676</v>
      </c>
      <c r="E33" s="84">
        <v>11096</v>
      </c>
      <c r="F33" s="84">
        <v>736</v>
      </c>
      <c r="G33" s="84"/>
      <c r="J33" t="s">
        <v>112</v>
      </c>
      <c r="Q33" s="84"/>
    </row>
    <row r="34" spans="1:17" x14ac:dyDescent="0.25">
      <c r="A34" s="92" t="s">
        <v>114</v>
      </c>
      <c r="B34" s="92"/>
      <c r="C34" s="92"/>
      <c r="D34" s="85">
        <v>-4449</v>
      </c>
      <c r="E34" s="85">
        <v>-5205</v>
      </c>
      <c r="F34" s="85">
        <v>-4011</v>
      </c>
      <c r="G34" s="85"/>
      <c r="J34" t="s">
        <v>145</v>
      </c>
      <c r="K34" s="38">
        <v>2537</v>
      </c>
      <c r="L34" s="38">
        <v>1594</v>
      </c>
      <c r="M34" s="38">
        <v>1847</v>
      </c>
      <c r="Q34" s="85"/>
    </row>
    <row r="35" spans="1:17" x14ac:dyDescent="0.25">
      <c r="A35" s="92" t="s">
        <v>115</v>
      </c>
      <c r="B35" s="92"/>
      <c r="C35" s="92"/>
      <c r="D35" s="84">
        <v>2103</v>
      </c>
      <c r="E35" s="84">
        <v>532</v>
      </c>
      <c r="F35" s="82" t="s">
        <v>116</v>
      </c>
      <c r="G35" s="82"/>
      <c r="J35" t="s">
        <v>146</v>
      </c>
      <c r="K35" s="94">
        <v>-901</v>
      </c>
      <c r="L35" s="94">
        <v>-1727</v>
      </c>
      <c r="M35" s="94">
        <v>-1240</v>
      </c>
      <c r="Q35" s="84"/>
    </row>
    <row r="36" spans="1:17" x14ac:dyDescent="0.25">
      <c r="A36" s="92" t="s">
        <v>117</v>
      </c>
      <c r="B36" s="92"/>
      <c r="C36" s="92"/>
      <c r="D36" s="85">
        <v>-353</v>
      </c>
      <c r="E36" s="82" t="s">
        <v>116</v>
      </c>
      <c r="F36" s="82" t="s">
        <v>116</v>
      </c>
      <c r="G36" s="82"/>
      <c r="J36" t="s">
        <v>117</v>
      </c>
      <c r="K36" s="94">
        <v>-1844</v>
      </c>
      <c r="L36" s="94">
        <v>-1235</v>
      </c>
      <c r="M36" s="94">
        <v>-1645</v>
      </c>
      <c r="Q36" s="85"/>
    </row>
    <row r="37" spans="1:17" x14ac:dyDescent="0.25">
      <c r="A37" s="92" t="s">
        <v>53</v>
      </c>
      <c r="B37" s="92"/>
      <c r="C37" s="92"/>
      <c r="D37" s="85">
        <v>-2</v>
      </c>
      <c r="E37" s="82" t="s">
        <v>116</v>
      </c>
      <c r="F37" s="82" t="s">
        <v>116</v>
      </c>
      <c r="G37" s="82"/>
      <c r="J37" t="s">
        <v>147</v>
      </c>
      <c r="K37" s="94">
        <v>-84</v>
      </c>
      <c r="L37" s="94">
        <v>-79</v>
      </c>
      <c r="M37" s="94">
        <v>-151</v>
      </c>
      <c r="Q37" s="85"/>
    </row>
    <row r="38" spans="1:17" x14ac:dyDescent="0.25">
      <c r="A38" s="92" t="s">
        <v>118</v>
      </c>
      <c r="B38" s="92"/>
      <c r="C38" s="92"/>
      <c r="D38" s="84">
        <v>12975</v>
      </c>
      <c r="E38" s="84">
        <v>6423</v>
      </c>
      <c r="F38" s="85">
        <v>-3275</v>
      </c>
      <c r="G38" s="85"/>
      <c r="J38" t="s">
        <v>148</v>
      </c>
      <c r="K38" s="94">
        <v>-80</v>
      </c>
      <c r="L38" s="94">
        <v>-37</v>
      </c>
      <c r="M38" s="94">
        <v>-61</v>
      </c>
      <c r="Q38" s="84"/>
    </row>
    <row r="39" spans="1:17" x14ac:dyDescent="0.25">
      <c r="A39" s="92" t="s">
        <v>119</v>
      </c>
      <c r="B39" s="92"/>
      <c r="C39" s="92"/>
      <c r="D39" s="84">
        <v>8880</v>
      </c>
      <c r="E39" s="84">
        <v>6791</v>
      </c>
      <c r="F39" s="85">
        <v>-11112</v>
      </c>
      <c r="G39" s="85"/>
      <c r="J39" t="s">
        <v>53</v>
      </c>
      <c r="K39" s="38">
        <v>3</v>
      </c>
      <c r="L39" s="38">
        <v>1</v>
      </c>
      <c r="M39" t="s">
        <v>116</v>
      </c>
      <c r="Q39" s="84"/>
    </row>
    <row r="40" spans="1:17" x14ac:dyDescent="0.25">
      <c r="A40" s="92" t="s">
        <v>120</v>
      </c>
      <c r="B40" s="92"/>
      <c r="C40" s="92"/>
      <c r="D40" s="84">
        <v>2862</v>
      </c>
      <c r="E40" s="84">
        <v>11742</v>
      </c>
      <c r="F40" s="84">
        <v>18533</v>
      </c>
      <c r="G40" s="84"/>
      <c r="J40" t="s">
        <v>149</v>
      </c>
      <c r="K40" s="94">
        <v>-369</v>
      </c>
      <c r="L40" s="94">
        <v>-1483</v>
      </c>
      <c r="M40" s="94">
        <v>-1250</v>
      </c>
      <c r="Q40" s="84"/>
    </row>
    <row r="41" spans="1:17" x14ac:dyDescent="0.25">
      <c r="A41" s="92" t="s">
        <v>121</v>
      </c>
      <c r="B41" s="92"/>
      <c r="C41" s="92"/>
      <c r="D41" s="83">
        <v>11742</v>
      </c>
      <c r="E41" s="83">
        <v>18533</v>
      </c>
      <c r="F41" s="83">
        <v>7421</v>
      </c>
      <c r="G41" s="83"/>
      <c r="J41" t="s">
        <v>119</v>
      </c>
      <c r="K41" s="94">
        <v>-712</v>
      </c>
      <c r="L41" s="38">
        <v>208</v>
      </c>
      <c r="M41" s="38">
        <v>1069</v>
      </c>
      <c r="Q41" s="83"/>
    </row>
    <row r="42" spans="1:17" x14ac:dyDescent="0.25">
      <c r="A42" s="88"/>
      <c r="B42" s="88"/>
      <c r="C42" s="88"/>
      <c r="J42" t="s">
        <v>120</v>
      </c>
      <c r="K42" s="38">
        <v>2297</v>
      </c>
      <c r="L42" s="38">
        <v>1585</v>
      </c>
      <c r="M42" s="38">
        <v>1793</v>
      </c>
    </row>
    <row r="43" spans="1:17" x14ac:dyDescent="0.25">
      <c r="A43" s="92" t="s">
        <v>122</v>
      </c>
      <c r="B43" s="92"/>
      <c r="C43" s="92"/>
      <c r="J43" t="s">
        <v>121</v>
      </c>
      <c r="K43" s="93">
        <v>1585</v>
      </c>
      <c r="L43" s="93">
        <v>1793</v>
      </c>
      <c r="M43" s="93">
        <v>2862</v>
      </c>
    </row>
    <row r="44" spans="1:17" x14ac:dyDescent="0.25">
      <c r="A44" s="92" t="s">
        <v>123</v>
      </c>
      <c r="B44" s="92"/>
      <c r="C44" s="92"/>
      <c r="D44" s="83">
        <v>1968</v>
      </c>
      <c r="E44" s="83">
        <v>814</v>
      </c>
      <c r="F44" s="83">
        <v>19</v>
      </c>
      <c r="G44" s="83"/>
      <c r="Q44" s="83"/>
    </row>
    <row r="45" spans="1:17" x14ac:dyDescent="0.25">
      <c r="A45" s="92" t="s">
        <v>124</v>
      </c>
      <c r="B45" s="92"/>
      <c r="C45" s="92"/>
      <c r="D45" s="84">
        <v>198</v>
      </c>
      <c r="E45" s="84">
        <v>771</v>
      </c>
      <c r="F45" s="84">
        <v>137</v>
      </c>
      <c r="G45" s="84"/>
      <c r="J45" t="s">
        <v>122</v>
      </c>
      <c r="Q45" s="84"/>
    </row>
    <row r="46" spans="1:17" x14ac:dyDescent="0.25">
      <c r="A46" s="92" t="s">
        <v>125</v>
      </c>
      <c r="B46" s="92"/>
      <c r="C46" s="92"/>
      <c r="D46" s="82" t="s">
        <v>116</v>
      </c>
      <c r="E46" s="84">
        <v>295</v>
      </c>
      <c r="F46" s="84">
        <v>103</v>
      </c>
      <c r="G46" s="84"/>
      <c r="J46" t="s">
        <v>150</v>
      </c>
      <c r="K46" s="93">
        <v>897</v>
      </c>
      <c r="L46" s="93">
        <v>143</v>
      </c>
      <c r="M46" s="93">
        <v>493</v>
      </c>
      <c r="Q46" s="82"/>
    </row>
    <row r="47" spans="1:17" x14ac:dyDescent="0.25">
      <c r="A47" s="92" t="s">
        <v>126</v>
      </c>
      <c r="B47" s="92"/>
      <c r="C47" s="92"/>
      <c r="D47" s="84">
        <v>527</v>
      </c>
      <c r="E47" s="84">
        <v>123</v>
      </c>
      <c r="F47" s="85">
        <v>-84</v>
      </c>
      <c r="G47" s="85"/>
      <c r="J47" t="s">
        <v>124</v>
      </c>
      <c r="K47" s="38">
        <v>319</v>
      </c>
      <c r="L47" s="38">
        <v>663</v>
      </c>
      <c r="M47" s="38">
        <v>498</v>
      </c>
      <c r="Q47" s="84"/>
    </row>
    <row r="48" spans="1:17" x14ac:dyDescent="0.25">
      <c r="A48" s="88"/>
      <c r="B48" s="88"/>
      <c r="C48" s="88"/>
      <c r="J48" t="s">
        <v>151</v>
      </c>
      <c r="K48" s="38">
        <v>16</v>
      </c>
      <c r="L48" s="38">
        <v>17</v>
      </c>
      <c r="M48" s="38">
        <v>22</v>
      </c>
    </row>
    <row r="49" spans="1:17" x14ac:dyDescent="0.25">
      <c r="A49" s="92" t="s">
        <v>127</v>
      </c>
      <c r="B49" s="92"/>
      <c r="C49" s="92"/>
      <c r="J49" t="s">
        <v>126</v>
      </c>
      <c r="K49" t="s">
        <v>116</v>
      </c>
      <c r="L49" s="38">
        <v>52</v>
      </c>
      <c r="M49" s="94">
        <v>-2</v>
      </c>
    </row>
    <row r="50" spans="1:17" x14ac:dyDescent="0.25">
      <c r="A50" s="92" t="s">
        <v>128</v>
      </c>
      <c r="B50" s="92"/>
      <c r="C50" s="92"/>
      <c r="D50" s="83">
        <v>874</v>
      </c>
      <c r="E50" s="83">
        <v>1424</v>
      </c>
      <c r="F50" s="83">
        <v>1573</v>
      </c>
      <c r="G50" s="83"/>
      <c r="J50" t="s">
        <v>152</v>
      </c>
      <c r="K50" t="s">
        <v>116</v>
      </c>
      <c r="L50" s="38">
        <v>163</v>
      </c>
      <c r="M50" t="s">
        <v>116</v>
      </c>
      <c r="Q50" s="83"/>
    </row>
    <row r="51" spans="1:17" x14ac:dyDescent="0.25">
      <c r="A51" s="92" t="s">
        <v>54</v>
      </c>
      <c r="B51" s="92"/>
      <c r="C51" s="92"/>
      <c r="D51" s="85">
        <v>-29</v>
      </c>
      <c r="E51" s="82" t="s">
        <v>116</v>
      </c>
      <c r="F51" s="84">
        <v>8</v>
      </c>
      <c r="G51" s="84"/>
      <c r="J51" t="s">
        <v>153</v>
      </c>
      <c r="K51" s="38">
        <v>92</v>
      </c>
      <c r="L51" t="s">
        <v>116</v>
      </c>
      <c r="M51" t="s">
        <v>116</v>
      </c>
      <c r="Q51" s="85"/>
    </row>
    <row r="53" spans="1:17" x14ac:dyDescent="0.25">
      <c r="J53" t="s">
        <v>154</v>
      </c>
    </row>
    <row r="54" spans="1:17" x14ac:dyDescent="0.25">
      <c r="J54" t="s">
        <v>128</v>
      </c>
      <c r="K54" s="93">
        <v>571</v>
      </c>
      <c r="L54" s="93">
        <v>651</v>
      </c>
      <c r="M54" s="93">
        <v>648</v>
      </c>
    </row>
    <row r="55" spans="1:17" x14ac:dyDescent="0.25">
      <c r="J55" t="s">
        <v>54</v>
      </c>
      <c r="K55" s="38">
        <v>20</v>
      </c>
      <c r="L55" s="38">
        <v>19</v>
      </c>
      <c r="M55" s="3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8" sqref="E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39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40</v>
      </c>
      <c r="C6" s="2"/>
      <c r="D6" s="45">
        <v>0.25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41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42</v>
      </c>
      <c r="C8" s="2"/>
      <c r="D8" s="46">
        <v>1.42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43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'UAL DCF'!D63</f>
        <v>17677.522200799998</v>
      </c>
      <c r="D12" s="2"/>
      <c r="E12" s="2" t="s">
        <v>33</v>
      </c>
      <c r="F12" s="2"/>
      <c r="G12" s="23">
        <f>'UAL DCF'!D60</f>
        <v>19777</v>
      </c>
      <c r="H12" s="2"/>
      <c r="I12" s="2" t="s">
        <v>44</v>
      </c>
      <c r="J12" s="2"/>
      <c r="K12" s="23">
        <f>G12+C12</f>
        <v>37454.522200799998</v>
      </c>
      <c r="L12" s="2"/>
    </row>
    <row r="13" spans="1:12" x14ac:dyDescent="0.25">
      <c r="A13" s="2" t="s">
        <v>45</v>
      </c>
      <c r="B13" s="2"/>
      <c r="C13" s="47">
        <f>C12/K12</f>
        <v>0.47197297314401254</v>
      </c>
      <c r="D13" s="2"/>
      <c r="E13" s="2" t="s">
        <v>46</v>
      </c>
      <c r="F13" s="2"/>
      <c r="G13" s="48">
        <f>G12/K12</f>
        <v>0.52802702685598746</v>
      </c>
      <c r="H13" s="2"/>
      <c r="I13" s="2"/>
      <c r="J13" s="2"/>
      <c r="K13" s="2"/>
      <c r="L13" s="2"/>
    </row>
    <row r="14" spans="1:12" x14ac:dyDescent="0.25">
      <c r="A14" s="2" t="s">
        <v>47</v>
      </c>
      <c r="B14" s="2"/>
      <c r="C14" s="49">
        <f>D7+D8*(D9)</f>
        <v>0.1222</v>
      </c>
      <c r="D14" s="2"/>
      <c r="E14" s="2" t="s">
        <v>48</v>
      </c>
      <c r="F14" s="2"/>
      <c r="G14" s="48">
        <v>7.0999999999999994E-2</v>
      </c>
      <c r="H14" s="2"/>
      <c r="I14" s="50" t="s">
        <v>1</v>
      </c>
      <c r="J14" s="51"/>
      <c r="K14" s="52">
        <f>C13*C14+G14*G13*(1-D6)</f>
        <v>8.579253649827967E-2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UAL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2023-07-14T17:11:41Z</dcterms:modified>
</cp:coreProperties>
</file>