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esktop\DCFs\"/>
    </mc:Choice>
  </mc:AlternateContent>
  <xr:revisionPtr revIDLastSave="0" documentId="13_ncr:1_{DACF03FC-C8B4-431F-A4A8-64A5DE2DC413}" xr6:coauthVersionLast="47" xr6:coauthVersionMax="47" xr10:uidLastSave="{00000000-0000-0000-0000-000000000000}"/>
  <bookViews>
    <workbookView xWindow="-120" yWindow="-120" windowWidth="20730" windowHeight="11040" xr2:uid="{AED10510-8238-4EDE-B018-BD7F77967871}"/>
  </bookViews>
  <sheets>
    <sheet name="CNC DCF" sheetId="1" r:id="rId1"/>
    <sheet name="Sheet1" sheetId="3" r:id="rId2"/>
    <sheet name="Sheet2" sheetId="4" r:id="rId3"/>
    <sheet name="WACC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1" i="1" l="1"/>
  <c r="D63" i="1"/>
  <c r="I34" i="1"/>
  <c r="J34" i="1"/>
  <c r="K34" i="1"/>
  <c r="L34" i="1"/>
  <c r="M34" i="1"/>
  <c r="N34" i="1"/>
  <c r="O34" i="1"/>
  <c r="P34" i="1"/>
  <c r="Q34" i="1"/>
  <c r="R34" i="1"/>
  <c r="I25" i="1"/>
  <c r="J25" i="1"/>
  <c r="K25" i="1"/>
  <c r="L25" i="1"/>
  <c r="M25" i="1"/>
  <c r="N25" i="1"/>
  <c r="O25" i="1"/>
  <c r="P25" i="1"/>
  <c r="Q25" i="1"/>
  <c r="R25" i="1"/>
  <c r="I41" i="1"/>
  <c r="J41" i="1"/>
  <c r="K41" i="1"/>
  <c r="L41" i="1"/>
  <c r="M41" i="1"/>
  <c r="N41" i="1"/>
  <c r="O41" i="1"/>
  <c r="P41" i="1"/>
  <c r="Q41" i="1"/>
  <c r="J11" i="1"/>
  <c r="K11" i="1"/>
  <c r="L11" i="1" s="1"/>
  <c r="M11" i="1" s="1"/>
  <c r="N11" i="1" s="1"/>
  <c r="O11" i="1" s="1"/>
  <c r="P11" i="1" s="1"/>
  <c r="Q11" i="1" s="1"/>
  <c r="R11" i="1" s="1"/>
  <c r="I11" i="1"/>
  <c r="C54" i="1"/>
  <c r="D52" i="1"/>
  <c r="E52" i="1"/>
  <c r="F52" i="1"/>
  <c r="G52" i="1"/>
  <c r="H52" i="1"/>
  <c r="C52" i="1"/>
  <c r="G51" i="1"/>
  <c r="F51" i="1"/>
  <c r="D51" i="1"/>
  <c r="E51" i="1"/>
  <c r="C51" i="1"/>
  <c r="C50" i="1"/>
  <c r="G47" i="1"/>
  <c r="H47" i="1"/>
  <c r="F47" i="1"/>
  <c r="D47" i="1"/>
  <c r="E47" i="1"/>
  <c r="C47" i="1"/>
  <c r="G44" i="1"/>
  <c r="H44" i="1"/>
  <c r="F44" i="1"/>
  <c r="D44" i="1"/>
  <c r="E44" i="1"/>
  <c r="C44" i="1"/>
  <c r="G41" i="1"/>
  <c r="H41" i="1"/>
  <c r="F41" i="1"/>
  <c r="D41" i="1"/>
  <c r="E41" i="1"/>
  <c r="C41" i="1"/>
  <c r="G37" i="1"/>
  <c r="H37" i="1"/>
  <c r="F37" i="1"/>
  <c r="D37" i="1"/>
  <c r="E37" i="1"/>
  <c r="C37" i="1"/>
  <c r="G29" i="1"/>
  <c r="H29" i="1"/>
  <c r="F29" i="1"/>
  <c r="D29" i="1"/>
  <c r="E29" i="1"/>
  <c r="C29" i="1"/>
  <c r="C25" i="1"/>
  <c r="G22" i="1"/>
  <c r="H22" i="1"/>
  <c r="F22" i="1"/>
  <c r="D22" i="1"/>
  <c r="E22" i="1"/>
  <c r="C22" i="1"/>
  <c r="G19" i="1"/>
  <c r="H19" i="1"/>
  <c r="F19" i="1"/>
  <c r="D19" i="1"/>
  <c r="E19" i="1"/>
  <c r="E25" i="1" s="1"/>
  <c r="C19" i="1"/>
  <c r="G14" i="1"/>
  <c r="H14" i="1"/>
  <c r="F14" i="1"/>
  <c r="D14" i="1"/>
  <c r="E14" i="1"/>
  <c r="C14" i="1"/>
  <c r="G11" i="1"/>
  <c r="H11" i="1"/>
  <c r="H12" i="1" s="1"/>
  <c r="F11" i="1"/>
  <c r="D11" i="1"/>
  <c r="E11" i="1"/>
  <c r="C11" i="1"/>
  <c r="L63" i="1"/>
  <c r="L64" i="1" s="1"/>
  <c r="L61" i="1"/>
  <c r="L60" i="1" s="1"/>
  <c r="G30" i="1"/>
  <c r="F30" i="1"/>
  <c r="D30" i="1"/>
  <c r="G25" i="1"/>
  <c r="F25" i="1"/>
  <c r="D25" i="1"/>
  <c r="H25" i="1"/>
  <c r="G23" i="1"/>
  <c r="F23" i="1"/>
  <c r="E23" i="1"/>
  <c r="D23" i="1"/>
  <c r="G20" i="1"/>
  <c r="F20" i="1"/>
  <c r="D20" i="1"/>
  <c r="C20" i="1"/>
  <c r="E30" i="1" l="1"/>
  <c r="C30" i="1"/>
  <c r="E20" i="1"/>
  <c r="H23" i="1"/>
  <c r="H26" i="1"/>
  <c r="H30" i="1"/>
  <c r="I29" i="1"/>
  <c r="C23" i="1"/>
  <c r="G12" i="2"/>
  <c r="D64" i="1"/>
  <c r="C12" i="2" s="1"/>
  <c r="H16" i="1"/>
  <c r="H28" i="1" s="1"/>
  <c r="H34" i="1" s="1"/>
  <c r="G16" i="1"/>
  <c r="G17" i="1" s="1"/>
  <c r="F16" i="1"/>
  <c r="F17" i="1" s="1"/>
  <c r="H50" i="1" l="1"/>
  <c r="H54" i="1" s="1"/>
  <c r="G28" i="1"/>
  <c r="G32" i="1" s="1"/>
  <c r="F28" i="1"/>
  <c r="F32" i="1" s="1"/>
  <c r="H32" i="1"/>
  <c r="C26" i="1"/>
  <c r="H20" i="1"/>
  <c r="C14" i="2"/>
  <c r="E45" i="1"/>
  <c r="D45" i="1"/>
  <c r="C45" i="1"/>
  <c r="F45" i="1"/>
  <c r="G45" i="1"/>
  <c r="H45" i="1"/>
  <c r="G42" i="1"/>
  <c r="H42" i="1"/>
  <c r="E42" i="1"/>
  <c r="C42" i="1"/>
  <c r="E26" i="1"/>
  <c r="G26" i="1"/>
  <c r="D48" i="1"/>
  <c r="C48" i="1"/>
  <c r="D42" i="1"/>
  <c r="D16" i="1"/>
  <c r="E16" i="1"/>
  <c r="C16" i="1"/>
  <c r="F48" i="1"/>
  <c r="G48" i="1"/>
  <c r="H48" i="1"/>
  <c r="F42" i="1"/>
  <c r="D12" i="1"/>
  <c r="E12" i="1"/>
  <c r="F12" i="1"/>
  <c r="G12" i="1"/>
  <c r="J9" i="1"/>
  <c r="K9" i="1" s="1"/>
  <c r="L9" i="1" s="1"/>
  <c r="M9" i="1" s="1"/>
  <c r="N9" i="1" s="1"/>
  <c r="O9" i="1" s="1"/>
  <c r="P9" i="1" s="1"/>
  <c r="Q9" i="1" s="1"/>
  <c r="R9" i="1" s="1"/>
  <c r="C17" i="1" l="1"/>
  <c r="C28" i="1"/>
  <c r="C32" i="1" s="1"/>
  <c r="D17" i="1"/>
  <c r="D28" i="1"/>
  <c r="D32" i="1" s="1"/>
  <c r="E17" i="1"/>
  <c r="E28" i="1"/>
  <c r="E32" i="1" s="1"/>
  <c r="H17" i="1"/>
  <c r="E48" i="1"/>
  <c r="K12" i="2"/>
  <c r="F26" i="1"/>
  <c r="D26" i="1"/>
  <c r="D34" i="1" l="1"/>
  <c r="D50" i="1" s="1"/>
  <c r="D54" i="1" s="1"/>
  <c r="C34" i="1"/>
  <c r="E34" i="1"/>
  <c r="G34" i="1"/>
  <c r="G50" i="1" s="1"/>
  <c r="C13" i="2"/>
  <c r="G13" i="2"/>
  <c r="F34" i="1"/>
  <c r="H38" i="1"/>
  <c r="K14" i="2" l="1"/>
  <c r="E5" i="1" s="1"/>
  <c r="F38" i="1"/>
  <c r="F50" i="1"/>
  <c r="D35" i="1"/>
  <c r="E50" i="1"/>
  <c r="E54" i="1" s="1"/>
  <c r="E38" i="1"/>
  <c r="C38" i="1"/>
  <c r="G54" i="1"/>
  <c r="G38" i="1"/>
  <c r="D38" i="1"/>
  <c r="G35" i="1"/>
  <c r="F54" i="1"/>
  <c r="E35" i="1"/>
  <c r="C35" i="1"/>
  <c r="H35" i="1"/>
  <c r="F35" i="1"/>
  <c r="I47" i="1" l="1"/>
  <c r="J29" i="1"/>
  <c r="I16" i="1"/>
  <c r="I28" i="1" s="1"/>
  <c r="I32" i="1" l="1"/>
  <c r="J47" i="1"/>
  <c r="J16" i="1"/>
  <c r="K29" i="1"/>
  <c r="I14" i="1"/>
  <c r="J14" i="1" l="1"/>
  <c r="I35" i="1"/>
  <c r="J28" i="1"/>
  <c r="J32" i="1" s="1"/>
  <c r="I26" i="1"/>
  <c r="J26" i="1"/>
  <c r="K16" i="1"/>
  <c r="K47" i="1"/>
  <c r="L29" i="1"/>
  <c r="K28" i="1" l="1"/>
  <c r="K32" i="1" s="1"/>
  <c r="L47" i="1"/>
  <c r="L16" i="1"/>
  <c r="M29" i="1"/>
  <c r="K14" i="1"/>
  <c r="R41" i="1" l="1"/>
  <c r="L28" i="1"/>
  <c r="L32" i="1" s="1"/>
  <c r="K26" i="1"/>
  <c r="I37" i="1"/>
  <c r="I52" i="1" s="1"/>
  <c r="M47" i="1"/>
  <c r="N29" i="1"/>
  <c r="M16" i="1"/>
  <c r="L14" i="1"/>
  <c r="L26" i="1" l="1"/>
  <c r="M28" i="1"/>
  <c r="M32" i="1" s="1"/>
  <c r="I50" i="1"/>
  <c r="I54" i="1" s="1"/>
  <c r="I55" i="1" s="1"/>
  <c r="J37" i="1"/>
  <c r="J52" i="1" s="1"/>
  <c r="J35" i="1"/>
  <c r="N16" i="1"/>
  <c r="N47" i="1"/>
  <c r="O29" i="1"/>
  <c r="M14" i="1"/>
  <c r="N14" i="1" l="1"/>
  <c r="M26" i="1"/>
  <c r="J50" i="1"/>
  <c r="J54" i="1" s="1"/>
  <c r="J55" i="1" s="1"/>
  <c r="K35" i="1"/>
  <c r="K37" i="1"/>
  <c r="K52" i="1" s="1"/>
  <c r="O16" i="1"/>
  <c r="P29" i="1"/>
  <c r="O47" i="1"/>
  <c r="O28" i="1" l="1"/>
  <c r="O32" i="1" s="1"/>
  <c r="N26" i="1"/>
  <c r="N28" i="1"/>
  <c r="N32" i="1" s="1"/>
  <c r="K50" i="1"/>
  <c r="K54" i="1" s="1"/>
  <c r="K55" i="1" s="1"/>
  <c r="L35" i="1"/>
  <c r="L37" i="1"/>
  <c r="L52" i="1" s="1"/>
  <c r="M35" i="1"/>
  <c r="M37" i="1"/>
  <c r="M52" i="1" s="1"/>
  <c r="O14" i="1"/>
  <c r="P47" i="1"/>
  <c r="P16" i="1"/>
  <c r="O26" i="1" l="1"/>
  <c r="M50" i="1"/>
  <c r="M54" i="1" s="1"/>
  <c r="M55" i="1" s="1"/>
  <c r="P14" i="1"/>
  <c r="L50" i="1"/>
  <c r="L54" i="1" s="1"/>
  <c r="L55" i="1" s="1"/>
  <c r="P26" i="1" l="1"/>
  <c r="P28" i="1"/>
  <c r="P32" i="1" s="1"/>
  <c r="N35" i="1"/>
  <c r="N37" i="1"/>
  <c r="N52" i="1" s="1"/>
  <c r="O37" i="1"/>
  <c r="O52" i="1" s="1"/>
  <c r="O35" i="1"/>
  <c r="O50" i="1" l="1"/>
  <c r="O54" i="1" s="1"/>
  <c r="O55" i="1" s="1"/>
  <c r="N50" i="1"/>
  <c r="N54" i="1" s="1"/>
  <c r="N55" i="1" s="1"/>
  <c r="P35" i="1" l="1"/>
  <c r="P37" i="1"/>
  <c r="P52" i="1" s="1"/>
  <c r="P50" i="1" l="1"/>
  <c r="P54" i="1" s="1"/>
  <c r="P55" i="1" s="1"/>
  <c r="F40" i="1" l="1"/>
  <c r="G40" i="1"/>
  <c r="Q29" i="1" l="1"/>
  <c r="Q16" i="1"/>
  <c r="Q14" i="1" s="1"/>
  <c r="Q26" i="1"/>
  <c r="Q47" i="1"/>
  <c r="Q28" i="1" l="1"/>
  <c r="R47" i="1"/>
  <c r="R29" i="1"/>
  <c r="R16" i="1"/>
  <c r="R14" i="1" s="1"/>
  <c r="R26" i="1" l="1"/>
  <c r="Q32" i="1"/>
  <c r="R28" i="1" l="1"/>
  <c r="R32" i="1" s="1"/>
  <c r="Q35" i="1"/>
  <c r="Q37" i="1"/>
  <c r="Q50" i="1" s="1"/>
  <c r="R35" i="1" l="1"/>
  <c r="Q52" i="1"/>
  <c r="R37" i="1"/>
  <c r="R52" i="1" s="1"/>
  <c r="S52" i="1" s="1"/>
  <c r="T52" i="1" s="1"/>
  <c r="U52" i="1" s="1"/>
  <c r="V52" i="1" s="1"/>
  <c r="W52" i="1" s="1"/>
  <c r="X52" i="1" s="1"/>
  <c r="Y52" i="1" s="1"/>
  <c r="Z52" i="1" s="1"/>
  <c r="AA52" i="1" s="1"/>
  <c r="AB52" i="1" s="1"/>
  <c r="AC52" i="1" s="1"/>
  <c r="AD52" i="1" s="1"/>
  <c r="AE52" i="1" s="1"/>
  <c r="AF52" i="1" s="1"/>
  <c r="AG52" i="1" s="1"/>
  <c r="AH52" i="1" s="1"/>
  <c r="AI52" i="1" s="1"/>
  <c r="AJ52" i="1" s="1"/>
  <c r="AK52" i="1" s="1"/>
  <c r="AL52" i="1" s="1"/>
  <c r="AM52" i="1" s="1"/>
  <c r="AN52" i="1" s="1"/>
  <c r="AO52" i="1" s="1"/>
  <c r="AP52" i="1" s="1"/>
  <c r="AQ52" i="1" s="1"/>
  <c r="AR52" i="1" s="1"/>
  <c r="AS52" i="1" s="1"/>
  <c r="AT52" i="1" s="1"/>
  <c r="AU52" i="1" s="1"/>
  <c r="AV52" i="1" s="1"/>
  <c r="AW52" i="1" s="1"/>
  <c r="AX52" i="1" s="1"/>
  <c r="AY52" i="1" s="1"/>
  <c r="AZ52" i="1" s="1"/>
  <c r="BA52" i="1" s="1"/>
  <c r="BB52" i="1" s="1"/>
  <c r="BC52" i="1" s="1"/>
  <c r="BD52" i="1" s="1"/>
  <c r="BE52" i="1" s="1"/>
  <c r="BF52" i="1" s="1"/>
  <c r="BG52" i="1" s="1"/>
  <c r="BH52" i="1" s="1"/>
  <c r="BI52" i="1" s="1"/>
  <c r="BJ52" i="1" s="1"/>
  <c r="BK52" i="1" s="1"/>
  <c r="BL52" i="1" s="1"/>
  <c r="BM52" i="1" s="1"/>
  <c r="BN52" i="1" s="1"/>
  <c r="BO52" i="1" s="1"/>
  <c r="BP52" i="1" s="1"/>
  <c r="BQ52" i="1" s="1"/>
  <c r="BR52" i="1" s="1"/>
  <c r="BS52" i="1" s="1"/>
  <c r="BT52" i="1" s="1"/>
  <c r="BU52" i="1" s="1"/>
  <c r="BV52" i="1" s="1"/>
  <c r="BW52" i="1" s="1"/>
  <c r="BX52" i="1" s="1"/>
  <c r="BY52" i="1" s="1"/>
  <c r="BZ52" i="1" s="1"/>
  <c r="CA52" i="1" s="1"/>
  <c r="CB52" i="1" s="1"/>
  <c r="CC52" i="1" s="1"/>
  <c r="CD52" i="1" s="1"/>
  <c r="CE52" i="1" s="1"/>
  <c r="CF52" i="1" s="1"/>
  <c r="CG52" i="1" s="1"/>
  <c r="CH52" i="1" s="1"/>
  <c r="R50" i="1" l="1"/>
  <c r="R54" i="1" s="1"/>
  <c r="F57" i="1"/>
  <c r="H60" i="1" s="1"/>
  <c r="Q54" i="1"/>
  <c r="Q55" i="1" s="1"/>
  <c r="H62" i="1" l="1"/>
  <c r="H65" i="1" s="1"/>
  <c r="R55" i="1"/>
  <c r="C57" i="1"/>
  <c r="C58" i="1" s="1"/>
  <c r="G60" i="1" l="1"/>
  <c r="G62" i="1" l="1"/>
  <c r="G65" i="1" s="1"/>
  <c r="D65" i="1" s="1"/>
  <c r="J6" i="1" l="1"/>
  <c r="N5" i="1" s="1"/>
  <c r="L59" i="1"/>
</calcChain>
</file>

<file path=xl/sharedStrings.xml><?xml version="1.0" encoding="utf-8"?>
<sst xmlns="http://schemas.openxmlformats.org/spreadsheetml/2006/main" count="298" uniqueCount="164">
  <si>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</si>
  <si>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</si>
  <si>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</si>
  <si>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</si>
  <si>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</si>
  <si>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</si>
  <si>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</si>
  <si>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</si>
  <si>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</si>
  <si>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</si>
  <si>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</si>
  <si>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</si>
  <si>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Opex</t>
  </si>
  <si>
    <t>Operating income</t>
  </si>
  <si>
    <t>Other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</si>
  <si>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</si>
  <si>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</si>
  <si>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</si>
  <si>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</si>
  <si>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</si>
  <si>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</si>
  <si>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</si>
  <si>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</si>
  <si>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</si>
  <si>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</si>
  <si>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</si>
  <si>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</si>
  <si>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</si>
  <si>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</si>
  <si>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</si>
  <si>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</si>
  <si>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</si>
  <si>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</si>
  <si>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</si>
  <si>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</si>
  <si>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</si>
  <si>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</si>
  <si>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</si>
  <si>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</si>
  <si>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</si>
  <si>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​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</si>
  <si>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</si>
  <si>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</si>
  <si>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</si>
  <si>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</si>
  <si>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</si>
  <si>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</si>
  <si>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</si>
  <si>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</si>
  <si>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</si>
  <si>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</si>
  <si>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 xml:space="preserve">                                             Terminal Growth Rate</t>
  </si>
  <si>
    <t>Other</t>
  </si>
  <si>
    <t>SG&amp;A</t>
  </si>
  <si>
    <t>NCI</t>
  </si>
  <si>
    <t>Last update :</t>
  </si>
  <si>
    <t>CONSOLIDATED STATEMENTS OF OPERATIONS</t>
  </si>
  <si>
    <t>Year Ended December 31,</t>
  </si>
  <si>
    <t>2022</t>
  </si>
  <si>
    <t>2021</t>
  </si>
  <si>
    <t>2020</t>
  </si>
  <si>
    <t>Revenues:</t>
  </si>
  <si>
    <t>Premium</t>
  </si>
  <si>
    <t>Service</t>
  </si>
  <si>
    <t>Premium and service revenues</t>
  </si>
  <si>
    <t>Premium tax and health insurer fee</t>
  </si>
  <si>
    <t>Total revenues</t>
  </si>
  <si>
    <t>Expenses:</t>
  </si>
  <si>
    <t>Medical costs</t>
  </si>
  <si>
    <t>Cost of services</t>
  </si>
  <si>
    <t>Selling, general and administrative expenses</t>
  </si>
  <si>
    <t>Depreciation expense</t>
  </si>
  <si>
    <t>Amortization of acquired intangible assets</t>
  </si>
  <si>
    <t>Premium tax expense</t>
  </si>
  <si>
    <t>Health insurer fee expense</t>
  </si>
  <si>
    <t>—</t>
  </si>
  <si>
    <t>Impairment</t>
  </si>
  <si>
    <t>Legal settlement</t>
  </si>
  <si>
    <t>Total operating expenses</t>
  </si>
  <si>
    <t>Earnings from operations</t>
  </si>
  <si>
    <t>Other income (expense):</t>
  </si>
  <si>
    <t>Investment and other income</t>
  </si>
  <si>
    <t>Debt extinguishment</t>
  </si>
  <si>
    <t>Interest expense</t>
  </si>
  <si>
    <t>Earnings before income tax</t>
  </si>
  <si>
    <t>Income tax expense</t>
  </si>
  <si>
    <t>Net earnings</t>
  </si>
  <si>
    <t>Loss attributable to noncontrolling interests</t>
  </si>
  <si>
    <t>Net earnings attributable to Centene Corporation</t>
  </si>
  <si>
    <t>Net earnings per common share attributable to Centene Corporation:</t>
  </si>
  <si>
    <t>Basic earnings per common share</t>
  </si>
  <si>
    <t>Diluted earnings per common share</t>
  </si>
  <si>
    <t>Weighted average number of common shares outstanding:</t>
  </si>
  <si>
    <t>Basic</t>
  </si>
  <si>
    <t>Diluted</t>
  </si>
  <si>
    <t>2019</t>
  </si>
  <si>
    <t>2018</t>
  </si>
  <si>
    <t>2017</t>
  </si>
  <si>
    <t>Impairment loss</t>
  </si>
  <si>
    <t>Debt extinguishment costs</t>
  </si>
  <si>
    <t>Earnings from operations, before income tax expense</t>
  </si>
  <si>
    <t>CONSOLIDATED STATEMENTS OF CASH FLOWS</t>
  </si>
  <si>
    <t>Cash flows from operating activities:</t>
  </si>
  <si>
    <t>Adjustments to reconcile net earnings to net cash provided by operating activities</t>
  </si>
  <si>
    <t>Depreciation and amortization</t>
  </si>
  <si>
    <t>Stock compensation expense</t>
  </si>
  <si>
    <t>Goodwill and intangible impairment</t>
  </si>
  <si>
    <t>Loss on debt extinguishment</t>
  </si>
  <si>
    <t>Deferred income taxes</t>
  </si>
  <si>
    <t>Changes in assets and liabilities</t>
  </si>
  <si>
    <t>Premium and trade receivables</t>
  </si>
  <si>
    <t>Other assets</t>
  </si>
  <si>
    <t>Medical claims liabilities</t>
  </si>
  <si>
    <t>Unearned revenue</t>
  </si>
  <si>
    <t>Accounts payable and accrued expenses</t>
  </si>
  <si>
    <t>Other long-term liabilities</t>
  </si>
  <si>
    <t>Other operating activities, net</t>
  </si>
  <si>
    <t>Net cash provided by operating activities</t>
  </si>
  <si>
    <t>Cash flows from investing activities:</t>
  </si>
  <si>
    <t>Capital expenditures</t>
  </si>
  <si>
    <t>Purchases of investments</t>
  </si>
  <si>
    <t>Sales and maturities of investments</t>
  </si>
  <si>
    <t>Acquisitions, net of cash acquired</t>
  </si>
  <si>
    <t>Other investing activities, net</t>
  </si>
  <si>
    <t>Net cash used in investing activities</t>
  </si>
  <si>
    <t>Cash flows from financing activities:</t>
  </si>
  <si>
    <t>Proceeds from the issuance of common stock</t>
  </si>
  <si>
    <t>Proceeds from long-term debt</t>
  </si>
  <si>
    <t>Payments of long-term debt</t>
  </si>
  <si>
    <t>Common stock repurchases</t>
  </si>
  <si>
    <t>Purchase of noncontrolling interest</t>
  </si>
  <si>
    <t>Contribution from noncontrolling interest</t>
  </si>
  <si>
    <t>Payments for debt extinguishment</t>
  </si>
  <si>
    <t>Debt issuance costs</t>
  </si>
  <si>
    <t>Other financing activities, net</t>
  </si>
  <si>
    <t>Net cash provided by (used in) financing activities</t>
  </si>
  <si>
    <t>Effect of exchange rate changes on cash, cash equivalents, and restricted cash</t>
  </si>
  <si>
    <t>Net increase in cash, cash equivalents, and restricted cash and equivalents</t>
  </si>
  <si>
    <t>Cash, cash equivalents, and restricted cash and cash equivalents, beginning of period</t>
  </si>
  <si>
    <t>Cash, cash equivalents, and restricted cash and cash equivalents, end of period</t>
  </si>
  <si>
    <t>Supplemental disclosures of cash flow information:</t>
  </si>
  <si>
    <t>Interest paid</t>
  </si>
  <si>
    <t>Income taxes paid</t>
  </si>
  <si>
    <t>Equity issued in connection with acquisitions</t>
  </si>
  <si>
    <t>$—</t>
  </si>
  <si>
    <t>(Gain) loss on debt extinguishment</t>
  </si>
  <si>
    <t>(Gain) on acquisition</t>
  </si>
  <si>
    <t>(Gain) on divestitures</t>
  </si>
  <si>
    <t>Loss on disposal of equipment</t>
  </si>
  <si>
    <t>Other adjustments, net</t>
  </si>
  <si>
    <t>Divestiture proceeds, net of divested cash</t>
  </si>
  <si>
    <t>Net cash (used in) investing activities</t>
  </si>
  <si>
    <t>Payments and repurchases of long-term debt</t>
  </si>
  <si>
    <t>Proceeds from common stock issuances</t>
  </si>
  <si>
    <t>Net cash (used in) provided by financing activities</t>
  </si>
  <si>
    <t>Net increase (decrease) in cash, cash equivalents, and restricted cash and cash equivalents</t>
  </si>
  <si>
    <t>Cash and cash equivalents reclassified (to) from held for sale</t>
  </si>
  <si>
    <t>Cash, cash equivalents, and restricted cash and cash equivalents,  beginning of period</t>
  </si>
  <si>
    <t>Cash, cash equivalents, and restricted cash and cash equivalents,  end of period</t>
  </si>
  <si>
    <t>The following table provides a reconciliation of cash, cash equivalents, and restricted cash and cash equivalents reported within the Consolidated Balance Sheets to the totals above:</t>
  </si>
  <si>
    <t>Cash and cash equivalents</t>
  </si>
  <si>
    <t>Restricted cash and cash equivalents, included in restricted deposits</t>
  </si>
  <si>
    <t>Total cash, cash equivalents, and restricted cash and cash equivalents</t>
  </si>
  <si>
    <t>Centene 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</si>
</sst>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0.00000%"/>
    <numFmt numFmtId="166" formatCode="_(\$* #,##0_);_(\$* \(#,##0\);_(\$* &quot;-&quot;_);_(@_)"/>
    <numFmt numFmtId="167" formatCode="\(#,##0_);[Red]\(#,##0\)"/>
    <numFmt numFmtId="168" formatCode="_(\$* #,##0.00_);_(\$* \(#,##0.00\);_(\$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4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" fontId="3" fillId="2" borderId="0" xfId="0" applyNumberFormat="1" applyFont="1" applyFill="1"/>
    <xf numFmtId="164" fontId="7" fillId="2" borderId="4" xfId="1" applyNumberFormat="1" applyFont="1" applyFill="1" applyBorder="1"/>
    <xf numFmtId="1" fontId="3" fillId="2" borderId="4" xfId="0" applyNumberFormat="1" applyFont="1" applyFill="1" applyBorder="1"/>
    <xf numFmtId="10" fontId="3" fillId="2" borderId="0" xfId="1" applyNumberFormat="1" applyFont="1" applyFill="1"/>
    <xf numFmtId="3" fontId="0" fillId="2" borderId="0" xfId="0" applyNumberFormat="1" applyFill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5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3" fillId="2" borderId="8" xfId="0" applyFont="1" applyFill="1" applyBorder="1"/>
    <xf numFmtId="2" fontId="6" fillId="2" borderId="0" xfId="0" applyNumberFormat="1" applyFont="1" applyFill="1"/>
    <xf numFmtId="3" fontId="0" fillId="0" borderId="0" xfId="0" applyNumberFormat="1"/>
    <xf numFmtId="3" fontId="3" fillId="2" borderId="0" xfId="0" applyNumberFormat="1" applyFont="1" applyFill="1" applyAlignment="1">
      <alignment horizontal="center"/>
    </xf>
    <xf numFmtId="0" fontId="8" fillId="2" borderId="0" xfId="0" applyFont="1" applyFill="1"/>
    <xf numFmtId="0" fontId="0" fillId="2" borderId="1" xfId="0" applyFill="1" applyBorder="1"/>
    <xf numFmtId="0" fontId="0" fillId="2" borderId="6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2" xfId="0" applyNumberFormat="1" applyFill="1" applyBorder="1" applyAlignment="1">
      <alignment horizontal="right"/>
    </xf>
    <xf numFmtId="0" fontId="2" fillId="2" borderId="9" xfId="0" applyFont="1" applyFill="1" applyBorder="1"/>
    <xf numFmtId="0" fontId="0" fillId="2" borderId="10" xfId="0" applyFill="1" applyBorder="1"/>
    <xf numFmtId="164" fontId="7" fillId="2" borderId="0" xfId="1" applyNumberFormat="1" applyFont="1" applyFill="1" applyBorder="1"/>
    <xf numFmtId="0" fontId="0" fillId="8" borderId="0" xfId="0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164" fontId="0" fillId="10" borderId="0" xfId="0" applyNumberFormat="1" applyFill="1"/>
    <xf numFmtId="164" fontId="0" fillId="10" borderId="0" xfId="0" applyNumberFormat="1" applyFill="1" applyAlignment="1">
      <alignment horizontal="left"/>
    </xf>
    <xf numFmtId="2" fontId="0" fillId="2" borderId="0" xfId="0" applyNumberFormat="1" applyFill="1"/>
    <xf numFmtId="2" fontId="0" fillId="3" borderId="0" xfId="0" applyNumberFormat="1" applyFill="1"/>
    <xf numFmtId="164" fontId="3" fillId="10" borderId="0" xfId="1" applyNumberFormat="1" applyFont="1" applyFill="1" applyBorder="1" applyAlignment="1">
      <alignment horizontal="left"/>
    </xf>
    <xf numFmtId="2" fontId="9" fillId="11" borderId="0" xfId="0" applyNumberFormat="1" applyFont="1" applyFill="1"/>
    <xf numFmtId="164" fontId="0" fillId="10" borderId="0" xfId="1" applyNumberFormat="1" applyFont="1" applyFill="1" applyBorder="1" applyAlignment="1">
      <alignment horizontal="left"/>
    </xf>
    <xf numFmtId="3" fontId="3" fillId="8" borderId="0" xfId="0" applyNumberFormat="1" applyFont="1" applyFill="1"/>
    <xf numFmtId="1" fontId="3" fillId="2" borderId="1" xfId="0" applyNumberFormat="1" applyFont="1" applyFill="1" applyBorder="1"/>
    <xf numFmtId="0" fontId="6" fillId="4" borderId="4" xfId="0" applyFont="1" applyFill="1" applyBorder="1"/>
    <xf numFmtId="1" fontId="3" fillId="2" borderId="12" xfId="0" applyNumberFormat="1" applyFont="1" applyFill="1" applyBorder="1"/>
    <xf numFmtId="3" fontId="3" fillId="2" borderId="4" xfId="0" applyNumberFormat="1" applyFont="1" applyFill="1" applyBorder="1"/>
    <xf numFmtId="0" fontId="6" fillId="3" borderId="4" xfId="0" applyFont="1" applyFill="1" applyBorder="1"/>
    <xf numFmtId="14" fontId="3" fillId="2" borderId="0" xfId="0" applyNumberFormat="1" applyFont="1" applyFill="1"/>
    <xf numFmtId="9" fontId="3" fillId="2" borderId="0" xfId="1" applyFont="1" applyFill="1" applyAlignment="1">
      <alignment horizontal="left"/>
    </xf>
    <xf numFmtId="165" fontId="2" fillId="2" borderId="11" xfId="0" applyNumberFormat="1" applyFont="1" applyFill="1" applyBorder="1"/>
    <xf numFmtId="0" fontId="3" fillId="2" borderId="0" xfId="1" applyNumberFormat="1" applyFont="1" applyFill="1"/>
    <xf numFmtId="3" fontId="0" fillId="2" borderId="1" xfId="0" applyNumberFormat="1" applyFill="1" applyBorder="1"/>
    <xf numFmtId="0" fontId="0" fillId="2" borderId="4" xfId="0" applyFill="1" applyBorder="1"/>
    <xf numFmtId="14" fontId="3" fillId="2" borderId="0" xfId="0" applyNumberFormat="1" applyFont="1" applyFill="1" applyAlignment="1">
      <alignment horizontal="left"/>
    </xf>
    <xf numFmtId="1" fontId="3" fillId="2" borderId="4" xfId="1" applyNumberFormat="1" applyFont="1" applyFill="1" applyBorder="1"/>
    <xf numFmtId="164" fontId="3" fillId="2" borderId="0" xfId="1" applyNumberFormat="1" applyFont="1" applyFill="1"/>
    <xf numFmtId="164" fontId="7" fillId="8" borderId="4" xfId="1" applyNumberFormat="1" applyFont="1" applyFill="1" applyBorder="1"/>
    <xf numFmtId="164" fontId="3" fillId="8" borderId="4" xfId="0" applyNumberFormat="1" applyFont="1" applyFill="1" applyBorder="1"/>
    <xf numFmtId="2" fontId="3" fillId="2" borderId="0" xfId="0" applyNumberFormat="1" applyFont="1" applyFill="1" applyAlignment="1">
      <alignment horizontal="left"/>
    </xf>
    <xf numFmtId="164" fontId="3" fillId="8" borderId="0" xfId="0" applyNumberFormat="1" applyFont="1" applyFill="1"/>
    <xf numFmtId="1" fontId="3" fillId="2" borderId="0" xfId="1" applyNumberFormat="1" applyFont="1" applyFill="1" applyBorder="1"/>
    <xf numFmtId="164" fontId="7" fillId="8" borderId="0" xfId="1" applyNumberFormat="1" applyFont="1" applyFill="1" applyBorder="1"/>
    <xf numFmtId="0" fontId="2" fillId="0" borderId="0" xfId="0" applyFont="1"/>
    <xf numFmtId="3" fontId="2" fillId="0" borderId="0" xfId="0" applyNumberFormat="1" applyFont="1"/>
    <xf numFmtId="168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168" fontId="0" fillId="0" borderId="0" xfId="0" applyNumberFormat="1"/>
    <xf numFmtId="166" fontId="0" fillId="0" borderId="0" xfId="0" applyNumberFormat="1"/>
    <xf numFmtId="167" fontId="0" fillId="0" borderId="0" xfId="0" applyNumberFormat="1"/>
    <xf numFmtId="3" fontId="3" fillId="2" borderId="0" xfId="1" applyNumberFormat="1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/>
    <xf numFmtId="0" fontId="7" fillId="8" borderId="0" xfId="0" applyFont="1" applyFill="1"/>
    <xf numFmtId="164" fontId="7" fillId="8" borderId="0" xfId="1" applyNumberFormat="1" applyFont="1" applyFill="1"/>
    <xf numFmtId="164" fontId="7" fillId="8" borderId="4" xfId="0" applyNumberFormat="1" applyFont="1" applyFill="1" applyBorder="1"/>
    <xf numFmtId="10" fontId="7" fillId="8" borderId="4" xfId="0" applyNumberFormat="1" applyFont="1" applyFill="1" applyBorder="1"/>
    <xf numFmtId="164" fontId="3" fillId="8" borderId="0" xfId="1" applyNumberFormat="1" applyFont="1" applyFill="1"/>
    <xf numFmtId="1" fontId="3" fillId="2" borderId="0" xfId="0" applyNumberFormat="1" applyFont="1" applyFill="1" applyBorder="1"/>
    <xf numFmtId="0" fontId="3" fillId="2" borderId="0" xfId="0" applyFont="1" applyFill="1" applyBorder="1"/>
    <xf numFmtId="0" fontId="0" fillId="2" borderId="0" xfId="0" applyFill="1" applyBorder="1"/>
    <xf numFmtId="164" fontId="7" fillId="8" borderId="0" xfId="0" applyNumberFormat="1" applyFont="1" applyFill="1" applyBorder="1"/>
    <xf numFmtId="3" fontId="3" fillId="2" borderId="0" xfId="0" applyNumberFormat="1" applyFont="1" applyFill="1" applyBorder="1"/>
    <xf numFmtId="10" fontId="7" fillId="8" borderId="0" xfId="0" applyNumberFormat="1" applyFont="1" applyFill="1" applyBorder="1"/>
    <xf numFmtId="0" fontId="6" fillId="3" borderId="0" xfId="0" applyFont="1" applyFill="1" applyBorder="1"/>
    <xf numFmtId="164" fontId="3" fillId="8" borderId="0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CFFCC"/>
      <color rgb="FFCCECFF"/>
      <color rgb="FFCCFF99"/>
      <color rgb="FF99FFCC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9B77-4948-48A4-A619-C1F4913720ED}">
  <dimension ref="A1:CH66"/>
  <sheetViews>
    <sheetView tabSelected="1" topLeftCell="C49" workbookViewId="0">
      <selection activeCell="K51" sqref="K51"/>
    </sheetView>
  </sheetViews>
  <sheetFormatPr defaultRowHeight="15" x14ac:dyDescent="0.25"/>
  <cols>
    <col min="1" max="1" width="7.7109375" style="2" customWidth="1"/>
    <col min="2" max="2" width="20.140625" style="2" customWidth="1"/>
    <col min="3" max="3" width="11" style="2" customWidth="1"/>
    <col min="4" max="4" width="9" style="2" customWidth="1"/>
    <col min="5" max="6" width="9.140625" style="2"/>
    <col min="7" max="7" width="11.5703125" style="2" customWidth="1"/>
    <col min="8" max="8" width="11.28515625" style="2" customWidth="1"/>
    <col min="9" max="18" width="11" style="2" customWidth="1"/>
    <col min="19" max="16384" width="9.140625" style="49"/>
  </cols>
  <sheetData>
    <row r="1" spans="1:8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86" ht="23.25" x14ac:dyDescent="0.35">
      <c r="A2" s="3"/>
      <c r="B2" s="4" t="s">
        <v>163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7"/>
    </row>
    <row r="3" spans="1:86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86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86" x14ac:dyDescent="0.25">
      <c r="A5" s="1"/>
      <c r="B5" s="1"/>
      <c r="C5" s="7" t="s">
        <v>1</v>
      </c>
      <c r="D5" s="1"/>
      <c r="E5" s="8">
        <f>WACC!K14+2%</f>
        <v>7.3682514850594766E-2</v>
      </c>
      <c r="G5" s="1"/>
      <c r="H5" s="1" t="s">
        <v>2</v>
      </c>
      <c r="I5" s="1"/>
      <c r="J5" s="7">
        <v>63.83</v>
      </c>
      <c r="K5" s="1"/>
      <c r="L5" s="1" t="s">
        <v>3</v>
      </c>
      <c r="M5" s="1"/>
      <c r="N5" s="66">
        <f>(J6/J5)-1</f>
        <v>0.39244138208500545</v>
      </c>
      <c r="O5" s="1"/>
      <c r="P5" s="1"/>
      <c r="Q5" s="1"/>
    </row>
    <row r="6" spans="1:86" x14ac:dyDescent="0.25">
      <c r="A6" s="1"/>
      <c r="B6" s="1"/>
      <c r="C6" s="7" t="s">
        <v>4</v>
      </c>
      <c r="D6" s="1"/>
      <c r="E6" s="8">
        <v>0.02</v>
      </c>
      <c r="G6" s="1"/>
      <c r="H6" s="1" t="s">
        <v>5</v>
      </c>
      <c r="I6" s="1"/>
      <c r="J6" s="76">
        <f>D65</f>
        <v>88.879533418485892</v>
      </c>
      <c r="K6" s="1"/>
      <c r="L6" s="1" t="s">
        <v>55</v>
      </c>
      <c r="M6" s="1"/>
      <c r="N6" s="71">
        <v>45067</v>
      </c>
      <c r="O6" s="1"/>
      <c r="P6" s="1"/>
      <c r="Q6" s="1"/>
    </row>
    <row r="7" spans="1:86" x14ac:dyDescent="0.25">
      <c r="B7" s="65"/>
      <c r="C7" s="1"/>
      <c r="D7" s="1"/>
      <c r="E7" s="8"/>
      <c r="F7" s="1"/>
      <c r="G7" s="1"/>
      <c r="H7" s="1"/>
      <c r="I7" s="1"/>
      <c r="J7" s="1"/>
      <c r="K7" s="1"/>
      <c r="L7" s="54"/>
      <c r="M7" s="1"/>
      <c r="N7" s="1"/>
      <c r="O7" s="1"/>
      <c r="P7" s="1"/>
      <c r="Q7" s="1"/>
    </row>
    <row r="8" spans="1:86" x14ac:dyDescent="0.25">
      <c r="A8" s="1"/>
      <c r="B8" s="11"/>
      <c r="C8" s="1"/>
      <c r="D8" s="1"/>
      <c r="E8" s="35"/>
      <c r="F8" s="1"/>
      <c r="G8" s="1"/>
      <c r="H8" s="11"/>
      <c r="I8" s="1"/>
      <c r="J8" s="1"/>
      <c r="K8" s="1"/>
      <c r="L8" s="1"/>
      <c r="M8" s="1"/>
      <c r="N8" s="1"/>
      <c r="O8" s="1"/>
      <c r="P8" s="1"/>
      <c r="Q8" s="1"/>
    </row>
    <row r="9" spans="1:86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86" x14ac:dyDescent="0.25">
      <c r="A10" s="1"/>
      <c r="B10" s="9" t="s">
        <v>6</v>
      </c>
      <c r="C10" s="10">
        <v>2017</v>
      </c>
      <c r="D10" s="9">
        <v>2018</v>
      </c>
      <c r="E10" s="9">
        <v>2019</v>
      </c>
      <c r="F10" s="10">
        <v>2020</v>
      </c>
      <c r="G10" s="9">
        <v>2021</v>
      </c>
      <c r="H10" s="9">
        <v>2022</v>
      </c>
      <c r="I10" s="61">
        <v>2023</v>
      </c>
      <c r="J10" s="10">
        <v>2024</v>
      </c>
      <c r="K10" s="10">
        <v>2025</v>
      </c>
      <c r="L10" s="10">
        <v>2026</v>
      </c>
      <c r="M10" s="10">
        <v>2027</v>
      </c>
      <c r="N10" s="10">
        <v>2028</v>
      </c>
      <c r="O10" s="10">
        <v>2029</v>
      </c>
      <c r="P10" s="10">
        <v>2030</v>
      </c>
      <c r="Q10" s="10">
        <v>2031</v>
      </c>
      <c r="R10" s="10">
        <v>2032</v>
      </c>
      <c r="S10" s="9">
        <v>2033</v>
      </c>
      <c r="T10" s="9">
        <v>2034</v>
      </c>
      <c r="U10" s="9">
        <v>2035</v>
      </c>
      <c r="V10" s="9">
        <v>2036</v>
      </c>
      <c r="W10" s="9">
        <v>2037</v>
      </c>
      <c r="X10" s="9">
        <v>2038</v>
      </c>
      <c r="Y10" s="9">
        <v>2039</v>
      </c>
      <c r="Z10" s="9">
        <v>2040</v>
      </c>
      <c r="AA10" s="9">
        <v>2041</v>
      </c>
      <c r="AB10" s="9">
        <v>2042</v>
      </c>
      <c r="AC10" s="9">
        <v>2043</v>
      </c>
      <c r="AD10" s="9">
        <v>2044</v>
      </c>
      <c r="AE10" s="9">
        <v>2045</v>
      </c>
      <c r="AF10" s="9">
        <v>2046</v>
      </c>
      <c r="AG10" s="9">
        <v>2047</v>
      </c>
      <c r="AH10" s="9">
        <v>2048</v>
      </c>
      <c r="AI10" s="9">
        <v>2049</v>
      </c>
      <c r="AJ10" s="9">
        <v>2050</v>
      </c>
      <c r="AK10" s="9">
        <v>2051</v>
      </c>
      <c r="AL10" s="9">
        <v>2052</v>
      </c>
      <c r="AM10" s="9">
        <v>2053</v>
      </c>
      <c r="AN10" s="9">
        <v>2054</v>
      </c>
      <c r="AO10" s="9">
        <v>2055</v>
      </c>
      <c r="AP10" s="9">
        <v>2056</v>
      </c>
      <c r="AQ10" s="9">
        <v>2057</v>
      </c>
      <c r="AR10" s="9">
        <v>2058</v>
      </c>
      <c r="AS10" s="9">
        <v>2059</v>
      </c>
      <c r="AT10" s="9">
        <v>2060</v>
      </c>
      <c r="AU10" s="9">
        <v>2061</v>
      </c>
      <c r="AV10" s="9">
        <v>2062</v>
      </c>
      <c r="AW10" s="9">
        <v>2063</v>
      </c>
      <c r="AX10" s="9">
        <v>2064</v>
      </c>
      <c r="AY10" s="9">
        <v>2065</v>
      </c>
      <c r="AZ10" s="9">
        <v>2066</v>
      </c>
      <c r="BA10" s="9">
        <v>2067</v>
      </c>
      <c r="BB10" s="9">
        <v>2068</v>
      </c>
      <c r="BC10" s="9">
        <v>2069</v>
      </c>
      <c r="BD10" s="9">
        <v>2070</v>
      </c>
      <c r="BE10" s="9">
        <v>2071</v>
      </c>
      <c r="BF10" s="9">
        <v>2072</v>
      </c>
      <c r="BG10" s="9">
        <v>2073</v>
      </c>
      <c r="BH10" s="9">
        <v>2074</v>
      </c>
      <c r="BI10" s="9">
        <v>2075</v>
      </c>
      <c r="BJ10" s="9">
        <v>2076</v>
      </c>
      <c r="BK10" s="9">
        <v>2077</v>
      </c>
      <c r="BL10" s="9">
        <v>2078</v>
      </c>
      <c r="BM10" s="9">
        <v>2079</v>
      </c>
      <c r="BN10" s="9">
        <v>2080</v>
      </c>
      <c r="BO10" s="9">
        <v>2081</v>
      </c>
      <c r="BP10" s="9">
        <v>2082</v>
      </c>
      <c r="BQ10" s="9">
        <v>2083</v>
      </c>
      <c r="BR10" s="9">
        <v>2084</v>
      </c>
      <c r="BS10" s="9">
        <v>2085</v>
      </c>
      <c r="BT10" s="9">
        <v>2086</v>
      </c>
      <c r="BU10" s="9">
        <v>2087</v>
      </c>
      <c r="BV10" s="9">
        <v>2088</v>
      </c>
      <c r="BW10" s="9">
        <v>2089</v>
      </c>
      <c r="BX10" s="9">
        <v>2090</v>
      </c>
      <c r="BY10" s="9">
        <v>2091</v>
      </c>
      <c r="BZ10" s="9">
        <v>2092</v>
      </c>
      <c r="CA10" s="9">
        <v>2093</v>
      </c>
      <c r="CB10" s="9">
        <v>2094</v>
      </c>
      <c r="CC10" s="9">
        <v>2095</v>
      </c>
      <c r="CD10" s="9">
        <v>2096</v>
      </c>
      <c r="CE10" s="9">
        <v>2097</v>
      </c>
      <c r="CF10" s="9">
        <v>2098</v>
      </c>
      <c r="CG10" s="9">
        <v>2099</v>
      </c>
      <c r="CH10" s="9">
        <v>2100</v>
      </c>
    </row>
    <row r="11" spans="1:86" x14ac:dyDescent="0.25">
      <c r="A11" s="1"/>
      <c r="B11" s="1" t="s">
        <v>7</v>
      </c>
      <c r="C11" s="11">
        <f>Sheet1!J12</f>
        <v>48382</v>
      </c>
      <c r="D11" s="11">
        <f>Sheet1!K12</f>
        <v>60116</v>
      </c>
      <c r="E11" s="11">
        <f>Sheet1!L12</f>
        <v>74639</v>
      </c>
      <c r="F11" s="11">
        <f>Sheet1!D11</f>
        <v>111115</v>
      </c>
      <c r="G11" s="11">
        <f>Sheet1!E11</f>
        <v>125982</v>
      </c>
      <c r="H11" s="11">
        <f>Sheet1!F11</f>
        <v>144547</v>
      </c>
      <c r="I11" s="20">
        <f>H11*(1+I12)</f>
        <v>147950</v>
      </c>
      <c r="J11" s="98">
        <f t="shared" ref="J11:R11" si="1">I11*(1+J12)</f>
        <v>137870</v>
      </c>
      <c r="K11" s="98">
        <f t="shared" si="1"/>
        <v>144320</v>
      </c>
      <c r="L11" s="98">
        <f t="shared" si="1"/>
        <v>152360</v>
      </c>
      <c r="M11" s="98">
        <f t="shared" si="1"/>
        <v>159289.99999999997</v>
      </c>
      <c r="N11" s="98">
        <f t="shared" si="1"/>
        <v>154049.99999999997</v>
      </c>
      <c r="O11" s="98">
        <f t="shared" si="1"/>
        <v>164349.99999999997</v>
      </c>
      <c r="P11" s="98">
        <f t="shared" si="1"/>
        <v>171749.99999999997</v>
      </c>
      <c r="Q11" s="98">
        <f t="shared" si="1"/>
        <v>177669.99999999997</v>
      </c>
      <c r="R11" s="98">
        <f t="shared" si="1"/>
        <v>183169.99999999997</v>
      </c>
    </row>
    <row r="12" spans="1:86" x14ac:dyDescent="0.25">
      <c r="A12" s="1"/>
      <c r="B12" s="93" t="s">
        <v>8</v>
      </c>
      <c r="C12" s="94"/>
      <c r="D12" s="94">
        <f>(D11/C11)-1</f>
        <v>0.2425282129717663</v>
      </c>
      <c r="E12" s="94">
        <f>(E11/D11)-1</f>
        <v>0.24158293965000999</v>
      </c>
      <c r="F12" s="94">
        <f>(F11/E11)-1</f>
        <v>0.48869893755275395</v>
      </c>
      <c r="G12" s="94">
        <f>(G11/F11)-1</f>
        <v>0.13379831705890299</v>
      </c>
      <c r="H12" s="94">
        <f>(H11/G11)-1</f>
        <v>0.14736232160149854</v>
      </c>
      <c r="I12" s="74">
        <v>2.3542515583166779E-2</v>
      </c>
      <c r="J12" s="79">
        <v>-6.8131125380196056E-2</v>
      </c>
      <c r="K12" s="79">
        <v>4.6783201566693355E-2</v>
      </c>
      <c r="L12" s="79">
        <v>5.5709534368070912E-2</v>
      </c>
      <c r="M12" s="79">
        <v>4.5484379102126438E-2</v>
      </c>
      <c r="N12" s="79">
        <v>-3.2895975893025287E-2</v>
      </c>
      <c r="O12" s="79">
        <v>6.6861408633560604E-2</v>
      </c>
      <c r="P12" s="79">
        <v>4.5025859446303551E-2</v>
      </c>
      <c r="Q12" s="79">
        <v>3.4468704512372605E-2</v>
      </c>
      <c r="R12" s="79">
        <v>3.0956267237012502E-2</v>
      </c>
    </row>
    <row r="13" spans="1:86" x14ac:dyDescent="0.25">
      <c r="A13" s="1"/>
      <c r="B13" s="6"/>
      <c r="C13" s="1"/>
      <c r="D13" s="1"/>
      <c r="E13" s="1"/>
      <c r="F13" s="1"/>
      <c r="G13" s="1"/>
      <c r="H13" s="1"/>
      <c r="I13" s="12"/>
      <c r="J13" s="99"/>
      <c r="K13" s="99"/>
      <c r="L13" s="99"/>
      <c r="M13" s="99"/>
      <c r="N13" s="99"/>
      <c r="O13" s="99"/>
      <c r="P13" s="99"/>
      <c r="Q13" s="99"/>
      <c r="R13" s="100"/>
    </row>
    <row r="14" spans="1:86" x14ac:dyDescent="0.25">
      <c r="A14" s="1"/>
      <c r="B14" s="1" t="s">
        <v>9</v>
      </c>
      <c r="C14" s="11">
        <f>Sheet1!J14+Sheet1!J15</f>
        <v>39698</v>
      </c>
      <c r="D14" s="11">
        <f>Sheet1!K14+Sheet1!K15</f>
        <v>48443</v>
      </c>
      <c r="E14" s="11">
        <f>Sheet1!L14+Sheet1!L15</f>
        <v>61327</v>
      </c>
      <c r="F14" s="11">
        <f>Sheet1!D13+Sheet1!D14</f>
        <v>89567</v>
      </c>
      <c r="G14" s="11">
        <f>Sheet1!E13+Sheet1!E14</f>
        <v>103496</v>
      </c>
      <c r="H14" s="11">
        <f>Sheet1!F13+Sheet1!F14</f>
        <v>118561</v>
      </c>
      <c r="I14" s="62">
        <f>I11-I16</f>
        <v>120283.35</v>
      </c>
      <c r="J14" s="60">
        <f t="shared" ref="J14:K14" si="2">J11-J16</f>
        <v>111771.209</v>
      </c>
      <c r="K14" s="60">
        <f t="shared" si="2"/>
        <v>117678.52800000001</v>
      </c>
      <c r="L14" s="60">
        <f t="shared" ref="L14:R14" si="3">L11-L16</f>
        <v>124173.4</v>
      </c>
      <c r="M14" s="60">
        <f t="shared" si="3"/>
        <v>129821.34999999998</v>
      </c>
      <c r="N14" s="60">
        <f t="shared" si="3"/>
        <v>125242.64999999998</v>
      </c>
      <c r="O14" s="60">
        <f t="shared" si="3"/>
        <v>133616.54999999999</v>
      </c>
      <c r="P14" s="60">
        <f t="shared" si="3"/>
        <v>139632.74999999997</v>
      </c>
      <c r="Q14" s="60">
        <f t="shared" si="3"/>
        <v>144445.70999999996</v>
      </c>
      <c r="R14" s="60">
        <f t="shared" si="3"/>
        <v>148917.20999999996</v>
      </c>
    </row>
    <row r="15" spans="1:86" x14ac:dyDescent="0.25">
      <c r="A15" s="1"/>
      <c r="B15" s="17"/>
      <c r="C15" s="17"/>
      <c r="D15" s="17"/>
      <c r="E15" s="17"/>
      <c r="F15" s="17"/>
      <c r="G15" s="17"/>
      <c r="H15" s="17"/>
      <c r="I15" s="12"/>
      <c r="J15" s="99"/>
      <c r="K15" s="99"/>
      <c r="L15" s="99"/>
      <c r="M15" s="99"/>
      <c r="N15" s="99"/>
      <c r="O15" s="99"/>
      <c r="P15" s="99"/>
      <c r="Q15" s="99"/>
      <c r="R15" s="100"/>
    </row>
    <row r="16" spans="1:86" x14ac:dyDescent="0.25">
      <c r="A16" s="1"/>
      <c r="B16" s="1" t="s">
        <v>10</v>
      </c>
      <c r="C16" s="11">
        <f t="shared" ref="C16:H16" si="4">C11-C14</f>
        <v>8684</v>
      </c>
      <c r="D16" s="11">
        <f t="shared" si="4"/>
        <v>11673</v>
      </c>
      <c r="E16" s="11">
        <f t="shared" si="4"/>
        <v>13312</v>
      </c>
      <c r="F16" s="11">
        <f t="shared" si="4"/>
        <v>21548</v>
      </c>
      <c r="G16" s="11">
        <f t="shared" si="4"/>
        <v>22486</v>
      </c>
      <c r="H16" s="11">
        <f t="shared" si="4"/>
        <v>25986</v>
      </c>
      <c r="I16" s="20">
        <f>I11*I17</f>
        <v>27666.65</v>
      </c>
      <c r="J16" s="98">
        <f t="shared" ref="J16:R16" si="5">J11*J17</f>
        <v>26098.791000000001</v>
      </c>
      <c r="K16" s="98">
        <f t="shared" si="5"/>
        <v>26641.471999999998</v>
      </c>
      <c r="L16" s="98">
        <f t="shared" si="5"/>
        <v>28186.6</v>
      </c>
      <c r="M16" s="98">
        <f t="shared" si="5"/>
        <v>29468.649999999994</v>
      </c>
      <c r="N16" s="98">
        <f t="shared" si="5"/>
        <v>28807.349999999995</v>
      </c>
      <c r="O16" s="98">
        <f t="shared" si="5"/>
        <v>30733.449999999993</v>
      </c>
      <c r="P16" s="98">
        <f t="shared" si="5"/>
        <v>32117.249999999993</v>
      </c>
      <c r="Q16" s="98">
        <f t="shared" si="5"/>
        <v>33224.289999999994</v>
      </c>
      <c r="R16" s="98">
        <f t="shared" si="5"/>
        <v>34252.789999999994</v>
      </c>
    </row>
    <row r="17" spans="1:18" x14ac:dyDescent="0.25">
      <c r="A17" s="1"/>
      <c r="B17" s="93" t="s">
        <v>11</v>
      </c>
      <c r="C17" s="94">
        <f t="shared" ref="C17:H17" si="6">C16/C11</f>
        <v>0.17948823942788641</v>
      </c>
      <c r="D17" s="94">
        <f t="shared" si="6"/>
        <v>0.19417459578148913</v>
      </c>
      <c r="E17" s="94">
        <f t="shared" si="6"/>
        <v>0.17835179999732043</v>
      </c>
      <c r="F17" s="94">
        <f t="shared" si="6"/>
        <v>0.19392521261755838</v>
      </c>
      <c r="G17" s="94">
        <f t="shared" si="6"/>
        <v>0.1784858154339509</v>
      </c>
      <c r="H17" s="94">
        <f t="shared" si="6"/>
        <v>0.17977543636325902</v>
      </c>
      <c r="I17" s="95">
        <v>0.187</v>
      </c>
      <c r="J17" s="101">
        <v>0.1893</v>
      </c>
      <c r="K17" s="101">
        <v>0.18459999999999999</v>
      </c>
      <c r="L17" s="101">
        <v>0.185</v>
      </c>
      <c r="M17" s="101">
        <v>0.185</v>
      </c>
      <c r="N17" s="101">
        <v>0.187</v>
      </c>
      <c r="O17" s="101">
        <v>0.187</v>
      </c>
      <c r="P17" s="101">
        <v>0.187</v>
      </c>
      <c r="Q17" s="101">
        <v>0.187</v>
      </c>
      <c r="R17" s="101">
        <v>0.187</v>
      </c>
    </row>
    <row r="18" spans="1:18" x14ac:dyDescent="0.25">
      <c r="A18" s="1"/>
      <c r="B18" s="6"/>
      <c r="C18" s="1"/>
      <c r="D18" s="1"/>
      <c r="E18" s="1"/>
      <c r="F18" s="1"/>
      <c r="G18" s="1"/>
      <c r="H18" s="1"/>
      <c r="I18" s="12"/>
      <c r="J18" s="99"/>
      <c r="K18" s="99"/>
      <c r="L18" s="99"/>
      <c r="M18" s="99"/>
      <c r="N18" s="99"/>
      <c r="O18" s="99"/>
      <c r="P18" s="99"/>
      <c r="Q18" s="99"/>
      <c r="R18" s="100"/>
    </row>
    <row r="19" spans="1:18" x14ac:dyDescent="0.25">
      <c r="A19" s="1"/>
      <c r="B19" s="1" t="s">
        <v>53</v>
      </c>
      <c r="C19" s="11">
        <f>Sheet1!J16</f>
        <v>4446</v>
      </c>
      <c r="D19" s="11">
        <f>Sheet1!K16</f>
        <v>6043</v>
      </c>
      <c r="E19" s="11">
        <f>Sheet1!L16</f>
        <v>6533</v>
      </c>
      <c r="F19" s="11">
        <f>Sheet1!D15</f>
        <v>9380</v>
      </c>
      <c r="G19" s="11">
        <f>Sheet1!E15</f>
        <v>9601</v>
      </c>
      <c r="H19" s="11">
        <f>Sheet1!F15</f>
        <v>11589</v>
      </c>
      <c r="I19" s="20">
        <v>10968.621074261795</v>
      </c>
      <c r="J19" s="98">
        <v>10367.056137093086</v>
      </c>
      <c r="K19" s="98">
        <v>10315.94343584309</v>
      </c>
      <c r="L19" s="98">
        <v>10713.779830527787</v>
      </c>
      <c r="M19" s="98">
        <v>11070.437845890723</v>
      </c>
      <c r="N19" s="98">
        <v>10813.875571426377</v>
      </c>
      <c r="O19" s="98">
        <v>11496.36263454349</v>
      </c>
      <c r="P19" s="98">
        <v>12090.983330795118</v>
      </c>
      <c r="Q19" s="98">
        <v>12512.08163379408</v>
      </c>
      <c r="R19" s="98">
        <v>12858.456766365438</v>
      </c>
    </row>
    <row r="20" spans="1:18" x14ac:dyDescent="0.25">
      <c r="A20" s="1"/>
      <c r="B20" s="93" t="s">
        <v>17</v>
      </c>
      <c r="C20" s="94">
        <f t="shared" ref="C20:H20" si="7">C19/C11</f>
        <v>9.1893679467570585E-2</v>
      </c>
      <c r="D20" s="94">
        <f t="shared" si="7"/>
        <v>0.10052232350788476</v>
      </c>
      <c r="E20" s="94">
        <f t="shared" si="7"/>
        <v>8.752796795241094E-2</v>
      </c>
      <c r="F20" s="94">
        <f t="shared" si="7"/>
        <v>8.4417045403410884E-2</v>
      </c>
      <c r="G20" s="94">
        <f t="shared" si="7"/>
        <v>7.6209299741232875E-2</v>
      </c>
      <c r="H20" s="94">
        <f t="shared" si="7"/>
        <v>8.0174614485253926E-2</v>
      </c>
      <c r="I20" s="74">
        <v>7.413735095817367E-2</v>
      </c>
      <c r="J20" s="79">
        <v>7.5194430529434156E-2</v>
      </c>
      <c r="K20" s="79">
        <v>7.1479652410220973E-2</v>
      </c>
      <c r="L20" s="79">
        <v>7.0318848979573287E-2</v>
      </c>
      <c r="M20" s="79">
        <v>6.949863673733897E-2</v>
      </c>
      <c r="N20" s="79">
        <v>7.0197179950836602E-2</v>
      </c>
      <c r="O20" s="79">
        <v>6.9950487584688109E-2</v>
      </c>
      <c r="P20" s="79">
        <v>7.0398738461689203E-2</v>
      </c>
      <c r="Q20" s="79">
        <v>7.0423153226735424E-2</v>
      </c>
      <c r="R20" s="79">
        <v>7.0199578349977837E-2</v>
      </c>
    </row>
    <row r="21" spans="1:18" x14ac:dyDescent="0.25">
      <c r="A21" s="1"/>
      <c r="B21" s="13"/>
      <c r="C21" s="73"/>
      <c r="D21" s="73"/>
      <c r="E21" s="73"/>
      <c r="F21" s="73"/>
      <c r="G21" s="73"/>
      <c r="H21" s="73"/>
      <c r="I21" s="20"/>
      <c r="J21" s="98"/>
      <c r="K21" s="98"/>
      <c r="L21" s="98"/>
      <c r="M21" s="98"/>
      <c r="N21" s="98"/>
      <c r="O21" s="98"/>
      <c r="P21" s="98"/>
      <c r="Q21" s="98"/>
      <c r="R21" s="98"/>
    </row>
    <row r="22" spans="1:18" x14ac:dyDescent="0.25">
      <c r="A22" s="1"/>
      <c r="B22" s="1" t="s">
        <v>52</v>
      </c>
      <c r="C22" s="11">
        <f>SUM(Sheet1!J17:J20)</f>
        <v>3039</v>
      </c>
      <c r="D22" s="11">
        <f>SUM(Sheet1!K17:K20)</f>
        <v>4172</v>
      </c>
      <c r="E22" s="11">
        <f>SUM(Sheet1!L17:L20)</f>
        <v>4998</v>
      </c>
      <c r="F22" s="11">
        <f>SUM(Sheet1!D16:D21)</f>
        <v>9086</v>
      </c>
      <c r="G22" s="11">
        <f>SUM(Sheet1!E16:E21)</f>
        <v>11101</v>
      </c>
      <c r="H22" s="11">
        <f>SUM(Sheet1!F16:F21)</f>
        <v>13079</v>
      </c>
      <c r="I22" s="20">
        <v>12378.858834262663</v>
      </c>
      <c r="J22" s="98">
        <v>11699.950575290402</v>
      </c>
      <c r="K22" s="98">
        <v>11642.266304028974</v>
      </c>
      <c r="L22" s="98">
        <v>12091.252601904644</v>
      </c>
      <c r="M22" s="98">
        <v>12493.766208163324</v>
      </c>
      <c r="N22" s="98">
        <v>12204.217671816859</v>
      </c>
      <c r="O22" s="98">
        <v>12974.452230321365</v>
      </c>
      <c r="P22" s="98">
        <v>13645.52342596163</v>
      </c>
      <c r="Q22" s="98">
        <v>14120.762420259967</v>
      </c>
      <c r="R22" s="98">
        <v>14511.671071472392</v>
      </c>
    </row>
    <row r="23" spans="1:18" x14ac:dyDescent="0.25">
      <c r="A23" s="1"/>
      <c r="B23" s="93" t="s">
        <v>17</v>
      </c>
      <c r="C23" s="94">
        <f t="shared" ref="C23:H23" si="8">C22/C11</f>
        <v>6.2812616262246296E-2</v>
      </c>
      <c r="D23" s="94">
        <f t="shared" si="8"/>
        <v>6.9399161620866331E-2</v>
      </c>
      <c r="E23" s="94">
        <f t="shared" si="8"/>
        <v>6.6962311928080498E-2</v>
      </c>
      <c r="F23" s="94">
        <f t="shared" si="8"/>
        <v>8.177113801016965E-2</v>
      </c>
      <c r="G23" s="94">
        <f t="shared" si="8"/>
        <v>8.811576256925592E-2</v>
      </c>
      <c r="H23" s="94">
        <f t="shared" si="8"/>
        <v>9.0482680373857635E-2</v>
      </c>
      <c r="I23" s="74">
        <v>8.3669204692549251E-2</v>
      </c>
      <c r="J23" s="79">
        <v>8.4862193191342583E-2</v>
      </c>
      <c r="K23" s="79">
        <v>8.0669805321708518E-2</v>
      </c>
      <c r="L23" s="79">
        <v>7.9359757166609632E-2</v>
      </c>
      <c r="M23" s="79">
        <v>7.8434090075731849E-2</v>
      </c>
      <c r="N23" s="79">
        <v>7.9222445127016303E-2</v>
      </c>
      <c r="O23" s="79">
        <v>7.8944035475031135E-2</v>
      </c>
      <c r="P23" s="79">
        <v>7.9449918055089566E-2</v>
      </c>
      <c r="Q23" s="79">
        <v>7.9477471831260027E-2</v>
      </c>
      <c r="R23" s="79">
        <v>7.9225151888804912E-2</v>
      </c>
    </row>
    <row r="24" spans="1:18" x14ac:dyDescent="0.25">
      <c r="A24" s="1"/>
      <c r="B24" s="13"/>
      <c r="C24" s="11"/>
      <c r="D24" s="11"/>
      <c r="E24" s="11"/>
      <c r="F24" s="11"/>
      <c r="G24" s="11"/>
      <c r="H24" s="11"/>
      <c r="I24" s="63"/>
      <c r="J24" s="102"/>
      <c r="K24" s="102"/>
      <c r="L24" s="102"/>
      <c r="M24" s="102"/>
      <c r="N24" s="102"/>
      <c r="O24" s="102"/>
      <c r="P24" s="102"/>
      <c r="Q24" s="102"/>
      <c r="R24" s="102"/>
    </row>
    <row r="25" spans="1:18" x14ac:dyDescent="0.25">
      <c r="A25" s="1"/>
      <c r="B25" s="1" t="s">
        <v>12</v>
      </c>
      <c r="C25" s="11">
        <f>C19+C22</f>
        <v>7485</v>
      </c>
      <c r="D25" s="11">
        <f t="shared" ref="D25:R25" si="9">D19+D22</f>
        <v>10215</v>
      </c>
      <c r="E25" s="11">
        <f t="shared" si="9"/>
        <v>11531</v>
      </c>
      <c r="F25" s="11">
        <f t="shared" si="9"/>
        <v>18466</v>
      </c>
      <c r="G25" s="11">
        <f t="shared" si="9"/>
        <v>20702</v>
      </c>
      <c r="H25" s="11">
        <f t="shared" si="9"/>
        <v>24668</v>
      </c>
      <c r="I25" s="63">
        <f t="shared" si="9"/>
        <v>23347.479908524459</v>
      </c>
      <c r="J25" s="102">
        <f t="shared" si="9"/>
        <v>22067.006712383489</v>
      </c>
      <c r="K25" s="102">
        <f t="shared" si="9"/>
        <v>21958.209739872065</v>
      </c>
      <c r="L25" s="102">
        <f t="shared" si="9"/>
        <v>22805.032432432432</v>
      </c>
      <c r="M25" s="102">
        <f t="shared" si="9"/>
        <v>23564.204054054047</v>
      </c>
      <c r="N25" s="102">
        <f t="shared" si="9"/>
        <v>23018.093243243238</v>
      </c>
      <c r="O25" s="102">
        <f t="shared" si="9"/>
        <v>24470.814864864857</v>
      </c>
      <c r="P25" s="102">
        <f t="shared" si="9"/>
        <v>25736.506756756746</v>
      </c>
      <c r="Q25" s="102">
        <f t="shared" si="9"/>
        <v>26632.844054054047</v>
      </c>
      <c r="R25" s="102">
        <f t="shared" si="9"/>
        <v>27370.12783783783</v>
      </c>
    </row>
    <row r="26" spans="1:18" x14ac:dyDescent="0.25">
      <c r="A26" s="1"/>
      <c r="B26" s="93" t="s">
        <v>17</v>
      </c>
      <c r="C26" s="94">
        <f t="shared" ref="C26:R26" si="10">C25/C11</f>
        <v>0.15470629572981687</v>
      </c>
      <c r="D26" s="94">
        <f t="shared" si="10"/>
        <v>0.16992148512875108</v>
      </c>
      <c r="E26" s="94">
        <f t="shared" si="10"/>
        <v>0.15449027988049144</v>
      </c>
      <c r="F26" s="94">
        <f t="shared" si="10"/>
        <v>0.16618818341358052</v>
      </c>
      <c r="G26" s="94">
        <f t="shared" si="10"/>
        <v>0.1643250623104888</v>
      </c>
      <c r="H26" s="94">
        <f t="shared" si="10"/>
        <v>0.17065729485911157</v>
      </c>
      <c r="I26" s="74">
        <f t="shared" si="10"/>
        <v>0.15780655565072294</v>
      </c>
      <c r="J26" s="79">
        <f t="shared" si="10"/>
        <v>0.16005662372077673</v>
      </c>
      <c r="K26" s="79">
        <f t="shared" si="10"/>
        <v>0.1521494577319295</v>
      </c>
      <c r="L26" s="79">
        <f t="shared" si="10"/>
        <v>0.14967860614618295</v>
      </c>
      <c r="M26" s="79">
        <f t="shared" si="10"/>
        <v>0.14793272681307082</v>
      </c>
      <c r="N26" s="79">
        <f t="shared" si="10"/>
        <v>0.14941962507785292</v>
      </c>
      <c r="O26" s="79">
        <f t="shared" si="10"/>
        <v>0.14889452305971926</v>
      </c>
      <c r="P26" s="79">
        <f t="shared" si="10"/>
        <v>0.14984865651677876</v>
      </c>
      <c r="Q26" s="79">
        <f t="shared" si="10"/>
        <v>0.14990062505799545</v>
      </c>
      <c r="R26" s="79">
        <f t="shared" si="10"/>
        <v>0.14942473023878275</v>
      </c>
    </row>
    <row r="27" spans="1:18" x14ac:dyDescent="0.25">
      <c r="A27" s="1"/>
      <c r="B27" s="1"/>
      <c r="C27" s="68"/>
      <c r="D27" s="68"/>
      <c r="E27" s="68"/>
      <c r="F27" s="14"/>
      <c r="G27" s="14"/>
      <c r="H27" s="14"/>
      <c r="I27" s="19"/>
      <c r="J27" s="48"/>
      <c r="K27" s="48"/>
      <c r="L27" s="48"/>
      <c r="M27" s="48"/>
      <c r="N27" s="48"/>
      <c r="O27" s="48"/>
      <c r="P27" s="48"/>
      <c r="Q27" s="48"/>
      <c r="R27" s="48"/>
    </row>
    <row r="28" spans="1:18" x14ac:dyDescent="0.25">
      <c r="A28" s="1"/>
      <c r="B28" s="1" t="s">
        <v>13</v>
      </c>
      <c r="C28" s="11">
        <f t="shared" ref="C28:R28" si="11">C16-C25</f>
        <v>1199</v>
      </c>
      <c r="D28" s="11">
        <f t="shared" si="11"/>
        <v>1458</v>
      </c>
      <c r="E28" s="11">
        <f t="shared" si="11"/>
        <v>1781</v>
      </c>
      <c r="F28" s="11">
        <f t="shared" si="11"/>
        <v>3082</v>
      </c>
      <c r="G28" s="11">
        <f t="shared" si="11"/>
        <v>1784</v>
      </c>
      <c r="H28" s="11">
        <f t="shared" si="11"/>
        <v>1318</v>
      </c>
      <c r="I28" s="63">
        <f t="shared" si="11"/>
        <v>4319.170091475542</v>
      </c>
      <c r="J28" s="102">
        <f t="shared" si="11"/>
        <v>4031.7842876165123</v>
      </c>
      <c r="K28" s="102">
        <f t="shared" si="11"/>
        <v>4683.2622601279327</v>
      </c>
      <c r="L28" s="102">
        <f t="shared" si="11"/>
        <v>5381.5675675675666</v>
      </c>
      <c r="M28" s="102">
        <f t="shared" si="11"/>
        <v>5904.4459459459467</v>
      </c>
      <c r="N28" s="102">
        <f t="shared" si="11"/>
        <v>5789.2567567567567</v>
      </c>
      <c r="O28" s="102">
        <f t="shared" si="11"/>
        <v>6262.6351351351368</v>
      </c>
      <c r="P28" s="102">
        <f t="shared" si="11"/>
        <v>6380.743243243247</v>
      </c>
      <c r="Q28" s="102">
        <f t="shared" si="11"/>
        <v>6591.4459459459467</v>
      </c>
      <c r="R28" s="102">
        <f t="shared" si="11"/>
        <v>6882.6621621621634</v>
      </c>
    </row>
    <row r="29" spans="1:18" x14ac:dyDescent="0.25">
      <c r="A29" s="1"/>
      <c r="B29" s="1" t="s">
        <v>14</v>
      </c>
      <c r="C29" s="88">
        <f>SUM(Sheet1!J24:J26)</f>
        <v>-65</v>
      </c>
      <c r="D29" s="88">
        <f>SUM(Sheet1!K24:K26)</f>
        <v>-90</v>
      </c>
      <c r="E29" s="88">
        <f>SUM(Sheet1!L24:L26)</f>
        <v>1</v>
      </c>
      <c r="F29" s="88">
        <f>SUM(Sheet1!D25:D27)</f>
        <v>-309</v>
      </c>
      <c r="G29" s="88">
        <f>SUM(Sheet1!E25:E27)</f>
        <v>29</v>
      </c>
      <c r="H29" s="88">
        <f>SUM(Sheet1!F25:F27)</f>
        <v>644</v>
      </c>
      <c r="I29" s="72">
        <f>I30*I11</f>
        <v>-147.95000000000002</v>
      </c>
      <c r="J29" s="78">
        <f t="shared" ref="J29:R29" si="12">J30*J11</f>
        <v>-137.87</v>
      </c>
      <c r="K29" s="78">
        <f t="shared" si="12"/>
        <v>-144.32</v>
      </c>
      <c r="L29" s="78">
        <f t="shared" si="12"/>
        <v>-152.36000000000001</v>
      </c>
      <c r="M29" s="78">
        <f t="shared" si="12"/>
        <v>-159.28999999999996</v>
      </c>
      <c r="N29" s="78">
        <f t="shared" si="12"/>
        <v>-154.04999999999998</v>
      </c>
      <c r="O29" s="78">
        <f t="shared" si="12"/>
        <v>-164.34999999999997</v>
      </c>
      <c r="P29" s="78">
        <f t="shared" si="12"/>
        <v>-171.74999999999997</v>
      </c>
      <c r="Q29" s="78">
        <f t="shared" si="12"/>
        <v>-177.67</v>
      </c>
      <c r="R29" s="78">
        <f t="shared" si="12"/>
        <v>-183.17</v>
      </c>
    </row>
    <row r="30" spans="1:18" x14ac:dyDescent="0.25">
      <c r="A30" s="1"/>
      <c r="B30" s="1" t="s">
        <v>17</v>
      </c>
      <c r="C30" s="14">
        <f t="shared" ref="C30:H30" si="13">C29/C11</f>
        <v>-1.3434748460171139E-3</v>
      </c>
      <c r="D30" s="14">
        <f t="shared" si="13"/>
        <v>-1.497105595848027E-3</v>
      </c>
      <c r="E30" s="14">
        <f t="shared" si="13"/>
        <v>1.3397821514221788E-5</v>
      </c>
      <c r="F30" s="14">
        <f t="shared" si="13"/>
        <v>-2.7809026684066057E-3</v>
      </c>
      <c r="G30" s="14">
        <f t="shared" si="13"/>
        <v>2.3019161467511233E-4</v>
      </c>
      <c r="H30" s="14">
        <f t="shared" si="13"/>
        <v>4.4552982766850923E-3</v>
      </c>
      <c r="I30" s="19">
        <v>-1E-3</v>
      </c>
      <c r="J30" s="48">
        <v>-1E-3</v>
      </c>
      <c r="K30" s="48">
        <v>-1E-3</v>
      </c>
      <c r="L30" s="48">
        <v>-1E-3</v>
      </c>
      <c r="M30" s="48">
        <v>-1E-3</v>
      </c>
      <c r="N30" s="48">
        <v>-1E-3</v>
      </c>
      <c r="O30" s="48">
        <v>-1E-3</v>
      </c>
      <c r="P30" s="48">
        <v>-1E-3</v>
      </c>
      <c r="Q30" s="48">
        <v>-1E-3</v>
      </c>
      <c r="R30" s="48">
        <v>-1E-3</v>
      </c>
    </row>
    <row r="31" spans="1:18" x14ac:dyDescent="0.25">
      <c r="A31" s="1"/>
      <c r="B31" s="13"/>
      <c r="C31" s="21"/>
      <c r="D31" s="21"/>
      <c r="E31" s="21"/>
      <c r="F31" s="21"/>
      <c r="G31" s="21"/>
      <c r="H31" s="21"/>
      <c r="I31" s="70"/>
      <c r="J31" s="100"/>
      <c r="K31" s="100"/>
      <c r="L31" s="100"/>
      <c r="M31" s="100"/>
      <c r="N31" s="100"/>
      <c r="O31" s="100"/>
      <c r="P31" s="100"/>
      <c r="Q31" s="100"/>
      <c r="R31" s="100"/>
    </row>
    <row r="32" spans="1:18" x14ac:dyDescent="0.25">
      <c r="A32" s="1"/>
      <c r="B32" s="1" t="s">
        <v>15</v>
      </c>
      <c r="C32" s="11">
        <f t="shared" ref="C32:H32" si="14">C28+C29</f>
        <v>1134</v>
      </c>
      <c r="D32" s="11">
        <f t="shared" si="14"/>
        <v>1368</v>
      </c>
      <c r="E32" s="11">
        <f t="shared" si="14"/>
        <v>1782</v>
      </c>
      <c r="F32" s="11">
        <f t="shared" si="14"/>
        <v>2773</v>
      </c>
      <c r="G32" s="11">
        <f t="shared" si="14"/>
        <v>1813</v>
      </c>
      <c r="H32" s="11">
        <f t="shared" si="14"/>
        <v>1962</v>
      </c>
      <c r="I32" s="63">
        <f t="shared" ref="I32:R32" si="15">I28+I29</f>
        <v>4171.2200914755422</v>
      </c>
      <c r="J32" s="102">
        <f t="shared" si="15"/>
        <v>3893.9142876165124</v>
      </c>
      <c r="K32" s="102">
        <f t="shared" si="15"/>
        <v>4538.942260127933</v>
      </c>
      <c r="L32" s="102">
        <f t="shared" si="15"/>
        <v>5229.2075675675669</v>
      </c>
      <c r="M32" s="102">
        <f t="shared" si="15"/>
        <v>5745.1559459459468</v>
      </c>
      <c r="N32" s="102">
        <f t="shared" si="15"/>
        <v>5635.2067567567565</v>
      </c>
      <c r="O32" s="102">
        <f t="shared" si="15"/>
        <v>6098.2851351351364</v>
      </c>
      <c r="P32" s="102">
        <f t="shared" si="15"/>
        <v>6208.993243243247</v>
      </c>
      <c r="Q32" s="102">
        <f t="shared" si="15"/>
        <v>6413.7759459459467</v>
      </c>
      <c r="R32" s="102">
        <f t="shared" si="15"/>
        <v>6699.4921621621634</v>
      </c>
    </row>
    <row r="33" spans="1:86" x14ac:dyDescent="0.25">
      <c r="A33" s="1"/>
      <c r="B33" s="1"/>
      <c r="C33" s="21"/>
      <c r="D33" s="21"/>
      <c r="E33" s="21"/>
      <c r="F33" s="21"/>
      <c r="G33" s="21"/>
      <c r="H33" s="21"/>
      <c r="I33" s="12"/>
      <c r="J33" s="99"/>
      <c r="K33" s="99"/>
      <c r="L33" s="99"/>
      <c r="M33" s="99"/>
      <c r="N33" s="99"/>
      <c r="O33" s="99"/>
      <c r="P33" s="99"/>
      <c r="Q33" s="99"/>
      <c r="R33" s="100"/>
    </row>
    <row r="34" spans="1:86" x14ac:dyDescent="0.25">
      <c r="A34" s="1"/>
      <c r="B34" s="1" t="s">
        <v>16</v>
      </c>
      <c r="C34" s="11">
        <f t="shared" ref="C34:R34" si="16">C28</f>
        <v>1199</v>
      </c>
      <c r="D34" s="11">
        <f t="shared" si="16"/>
        <v>1458</v>
      </c>
      <c r="E34" s="11">
        <f t="shared" si="16"/>
        <v>1781</v>
      </c>
      <c r="F34" s="11">
        <f t="shared" si="16"/>
        <v>3082</v>
      </c>
      <c r="G34" s="11">
        <f t="shared" si="16"/>
        <v>1784</v>
      </c>
      <c r="H34" s="11">
        <f t="shared" si="16"/>
        <v>1318</v>
      </c>
      <c r="I34" s="63">
        <f t="shared" si="16"/>
        <v>4319.170091475542</v>
      </c>
      <c r="J34" s="102">
        <f t="shared" si="16"/>
        <v>4031.7842876165123</v>
      </c>
      <c r="K34" s="102">
        <f t="shared" si="16"/>
        <v>4683.2622601279327</v>
      </c>
      <c r="L34" s="102">
        <f t="shared" si="16"/>
        <v>5381.5675675675666</v>
      </c>
      <c r="M34" s="102">
        <f t="shared" si="16"/>
        <v>5904.4459459459467</v>
      </c>
      <c r="N34" s="102">
        <f t="shared" si="16"/>
        <v>5789.2567567567567</v>
      </c>
      <c r="O34" s="102">
        <f t="shared" si="16"/>
        <v>6262.6351351351368</v>
      </c>
      <c r="P34" s="102">
        <f t="shared" si="16"/>
        <v>6380.743243243247</v>
      </c>
      <c r="Q34" s="102">
        <f t="shared" si="16"/>
        <v>6591.4459459459467</v>
      </c>
      <c r="R34" s="102">
        <f t="shared" si="16"/>
        <v>6882.6621621621634</v>
      </c>
    </row>
    <row r="35" spans="1:86" x14ac:dyDescent="0.25">
      <c r="A35" s="1"/>
      <c r="B35" s="93" t="s">
        <v>17</v>
      </c>
      <c r="C35" s="94">
        <f t="shared" ref="C35:R35" si="17">C34/C11</f>
        <v>2.478194369806953E-2</v>
      </c>
      <c r="D35" s="94">
        <f t="shared" si="17"/>
        <v>2.4253110652738039E-2</v>
      </c>
      <c r="E35" s="94">
        <f t="shared" si="17"/>
        <v>2.3861520116829002E-2</v>
      </c>
      <c r="F35" s="94">
        <f t="shared" si="17"/>
        <v>2.7737029203977862E-2</v>
      </c>
      <c r="G35" s="94">
        <f t="shared" si="17"/>
        <v>1.4160753123462082E-2</v>
      </c>
      <c r="H35" s="94">
        <f t="shared" si="17"/>
        <v>9.1181415041474406E-3</v>
      </c>
      <c r="I35" s="74">
        <f t="shared" si="17"/>
        <v>2.9193444349277068E-2</v>
      </c>
      <c r="J35" s="79">
        <f t="shared" si="17"/>
        <v>2.9243376279223271E-2</v>
      </c>
      <c r="K35" s="79">
        <f t="shared" si="17"/>
        <v>3.2450542268070488E-2</v>
      </c>
      <c r="L35" s="79">
        <f t="shared" si="17"/>
        <v>3.5321393853817058E-2</v>
      </c>
      <c r="M35" s="79">
        <f t="shared" si="17"/>
        <v>3.7067273186929171E-2</v>
      </c>
      <c r="N35" s="79">
        <f t="shared" si="17"/>
        <v>3.7580374922147081E-2</v>
      </c>
      <c r="O35" s="79">
        <f t="shared" si="17"/>
        <v>3.8105476940280728E-2</v>
      </c>
      <c r="P35" s="79">
        <f t="shared" si="17"/>
        <v>3.7151343483221237E-2</v>
      </c>
      <c r="Q35" s="79">
        <f t="shared" si="17"/>
        <v>3.7099374942004548E-2</v>
      </c>
      <c r="R35" s="79">
        <f t="shared" si="17"/>
        <v>3.7575269761217257E-2</v>
      </c>
    </row>
    <row r="36" spans="1:86" x14ac:dyDescent="0.25">
      <c r="A36" s="1"/>
      <c r="B36" s="13"/>
      <c r="C36" s="1"/>
      <c r="D36" s="1"/>
      <c r="E36" s="1"/>
      <c r="G36" s="1"/>
      <c r="H36" s="1"/>
      <c r="I36" s="12"/>
      <c r="J36" s="99"/>
      <c r="K36" s="99"/>
      <c r="L36" s="99"/>
      <c r="M36" s="99"/>
      <c r="N36" s="99"/>
      <c r="O36" s="100"/>
      <c r="P36" s="100"/>
      <c r="Q36" s="100"/>
      <c r="R36" s="100"/>
    </row>
    <row r="37" spans="1:86" x14ac:dyDescent="0.25">
      <c r="A37" s="1"/>
      <c r="B37" s="1" t="s">
        <v>18</v>
      </c>
      <c r="C37" s="18">
        <f>Sheet1!J28</f>
        <v>326</v>
      </c>
      <c r="D37" s="18">
        <f>Sheet1!K28</f>
        <v>474</v>
      </c>
      <c r="E37" s="18">
        <f>Sheet1!L28</f>
        <v>473</v>
      </c>
      <c r="F37" s="22">
        <f>Sheet1!D29</f>
        <v>979</v>
      </c>
      <c r="G37" s="22">
        <f>Sheet1!E29</f>
        <v>477</v>
      </c>
      <c r="H37" s="22">
        <f>Sheet1!F29</f>
        <v>760</v>
      </c>
      <c r="I37" s="20">
        <f>I38*I34</f>
        <v>1061.2200914755406</v>
      </c>
      <c r="J37" s="98">
        <f t="shared" ref="J37:R37" si="18">J38*J34</f>
        <v>1003.9142876165116</v>
      </c>
      <c r="K37" s="98">
        <f t="shared" si="18"/>
        <v>1168.9422601279318</v>
      </c>
      <c r="L37" s="98">
        <f t="shared" si="18"/>
        <v>1399.2075675675674</v>
      </c>
      <c r="M37" s="98">
        <f t="shared" si="18"/>
        <v>1535.1559459459463</v>
      </c>
      <c r="N37" s="98">
        <f t="shared" si="18"/>
        <v>1505.2067567567567</v>
      </c>
      <c r="O37" s="98">
        <f t="shared" si="18"/>
        <v>1628.2851351351355</v>
      </c>
      <c r="P37" s="98">
        <f t="shared" si="18"/>
        <v>1658.9932432432443</v>
      </c>
      <c r="Q37" s="98">
        <f t="shared" si="18"/>
        <v>1713.7759459459462</v>
      </c>
      <c r="R37" s="98">
        <f t="shared" si="18"/>
        <v>1789.4921621621625</v>
      </c>
    </row>
    <row r="38" spans="1:86" x14ac:dyDescent="0.25">
      <c r="A38" s="1"/>
      <c r="B38" s="93" t="s">
        <v>19</v>
      </c>
      <c r="C38" s="97">
        <f t="shared" ref="C38:H38" si="19">C37/C34</f>
        <v>0.2718932443703086</v>
      </c>
      <c r="D38" s="97">
        <f t="shared" si="19"/>
        <v>0.32510288065843623</v>
      </c>
      <c r="E38" s="97">
        <f t="shared" si="19"/>
        <v>0.26558113419427287</v>
      </c>
      <c r="F38" s="97">
        <f t="shared" si="19"/>
        <v>0.31765087605451003</v>
      </c>
      <c r="G38" s="97">
        <f t="shared" si="19"/>
        <v>0.2673766816143498</v>
      </c>
      <c r="H38" s="97">
        <f t="shared" si="19"/>
        <v>0.57663125948406679</v>
      </c>
      <c r="I38" s="96">
        <v>0.2457</v>
      </c>
      <c r="J38" s="103">
        <v>0.249</v>
      </c>
      <c r="K38" s="103">
        <v>0.24959999999999999</v>
      </c>
      <c r="L38" s="103">
        <v>0.26</v>
      </c>
      <c r="M38" s="103">
        <v>0.26</v>
      </c>
      <c r="N38" s="103">
        <v>0.26</v>
      </c>
      <c r="O38" s="103">
        <v>0.26</v>
      </c>
      <c r="P38" s="103">
        <v>0.26</v>
      </c>
      <c r="Q38" s="103">
        <v>0.26</v>
      </c>
      <c r="R38" s="103">
        <v>0.26</v>
      </c>
    </row>
    <row r="39" spans="1:86" x14ac:dyDescent="0.25">
      <c r="A39" s="1"/>
      <c r="B39" s="1"/>
      <c r="C39" s="1"/>
      <c r="D39" s="1"/>
      <c r="E39" s="1"/>
      <c r="F39" s="1"/>
      <c r="G39" s="1"/>
      <c r="H39" s="1"/>
      <c r="I39" s="12"/>
      <c r="J39" s="99"/>
      <c r="K39" s="99"/>
      <c r="L39" s="99"/>
      <c r="M39" s="99"/>
      <c r="N39" s="99"/>
      <c r="O39" s="99"/>
      <c r="P39" s="99"/>
      <c r="Q39" s="99"/>
      <c r="R39" s="100"/>
    </row>
    <row r="40" spans="1:86" x14ac:dyDescent="0.25">
      <c r="A40" s="1"/>
      <c r="B40" s="9" t="s">
        <v>20</v>
      </c>
      <c r="C40" s="9">
        <v>2022</v>
      </c>
      <c r="D40" s="9">
        <v>2021</v>
      </c>
      <c r="E40" s="9">
        <v>2020</v>
      </c>
      <c r="F40" s="9">
        <f>E40+1</f>
        <v>2021</v>
      </c>
      <c r="G40" s="9">
        <f>F40+1</f>
        <v>2022</v>
      </c>
      <c r="H40" s="9">
        <v>2017</v>
      </c>
      <c r="I40" s="64">
        <v>2023</v>
      </c>
      <c r="J40" s="104">
        <v>2024</v>
      </c>
      <c r="K40" s="104">
        <v>2025</v>
      </c>
      <c r="L40" s="104">
        <v>2026</v>
      </c>
      <c r="M40" s="104">
        <v>2027</v>
      </c>
      <c r="N40" s="104">
        <v>2028</v>
      </c>
      <c r="O40" s="104">
        <v>2029</v>
      </c>
      <c r="P40" s="104">
        <v>2030</v>
      </c>
      <c r="Q40" s="104">
        <v>2031</v>
      </c>
      <c r="R40" s="104">
        <v>2032</v>
      </c>
      <c r="S40" s="9">
        <v>2033</v>
      </c>
      <c r="T40" s="9">
        <v>2034</v>
      </c>
      <c r="U40" s="9">
        <v>2035</v>
      </c>
      <c r="V40" s="9">
        <v>2036</v>
      </c>
      <c r="W40" s="9">
        <v>2037</v>
      </c>
      <c r="X40" s="9">
        <v>2038</v>
      </c>
      <c r="Y40" s="9">
        <v>2039</v>
      </c>
      <c r="Z40" s="9">
        <v>2040</v>
      </c>
      <c r="AA40" s="9">
        <v>2041</v>
      </c>
      <c r="AB40" s="9">
        <v>2042</v>
      </c>
      <c r="AC40" s="9">
        <v>2043</v>
      </c>
      <c r="AD40" s="9">
        <v>2044</v>
      </c>
      <c r="AE40" s="9">
        <v>2045</v>
      </c>
      <c r="AF40" s="9">
        <v>2046</v>
      </c>
      <c r="AG40" s="9">
        <v>2047</v>
      </c>
      <c r="AH40" s="9">
        <v>2048</v>
      </c>
      <c r="AI40" s="9">
        <v>2049</v>
      </c>
      <c r="AJ40" s="9">
        <v>2050</v>
      </c>
      <c r="AK40" s="9">
        <v>2051</v>
      </c>
      <c r="AL40" s="9">
        <v>2052</v>
      </c>
      <c r="AM40" s="9">
        <v>2053</v>
      </c>
      <c r="AN40" s="9">
        <v>2054</v>
      </c>
      <c r="AO40" s="9">
        <v>2055</v>
      </c>
      <c r="AP40" s="9">
        <v>2056</v>
      </c>
      <c r="AQ40" s="9">
        <v>2057</v>
      </c>
      <c r="AR40" s="9">
        <v>2058</v>
      </c>
      <c r="AS40" s="9">
        <v>2059</v>
      </c>
      <c r="AT40" s="9">
        <v>2060</v>
      </c>
      <c r="AU40" s="9">
        <v>2061</v>
      </c>
      <c r="AV40" s="9">
        <v>2062</v>
      </c>
      <c r="AW40" s="9">
        <v>2063</v>
      </c>
      <c r="AX40" s="9">
        <v>2064</v>
      </c>
      <c r="AY40" s="9">
        <v>2065</v>
      </c>
      <c r="AZ40" s="9">
        <v>2066</v>
      </c>
      <c r="BA40" s="9">
        <v>2067</v>
      </c>
      <c r="BB40" s="9">
        <v>2068</v>
      </c>
      <c r="BC40" s="9">
        <v>2069</v>
      </c>
      <c r="BD40" s="9">
        <v>2070</v>
      </c>
      <c r="BE40" s="9">
        <v>2071</v>
      </c>
      <c r="BF40" s="9">
        <v>2072</v>
      </c>
      <c r="BG40" s="9">
        <v>2073</v>
      </c>
      <c r="BH40" s="9">
        <v>2074</v>
      </c>
      <c r="BI40" s="9">
        <v>2075</v>
      </c>
      <c r="BJ40" s="9">
        <v>2076</v>
      </c>
      <c r="BK40" s="9">
        <v>2077</v>
      </c>
      <c r="BL40" s="9">
        <v>2078</v>
      </c>
      <c r="BM40" s="9">
        <v>2079</v>
      </c>
      <c r="BN40" s="9">
        <v>2080</v>
      </c>
      <c r="BO40" s="9">
        <v>2081</v>
      </c>
      <c r="BP40" s="9">
        <v>2082</v>
      </c>
      <c r="BQ40" s="9">
        <v>2083</v>
      </c>
      <c r="BR40" s="9">
        <v>2084</v>
      </c>
      <c r="BS40" s="9">
        <v>2085</v>
      </c>
      <c r="BT40" s="9">
        <v>2086</v>
      </c>
      <c r="BU40" s="9">
        <v>2087</v>
      </c>
      <c r="BV40" s="9">
        <v>2088</v>
      </c>
      <c r="BW40" s="9">
        <v>2089</v>
      </c>
      <c r="BX40" s="9">
        <v>2090</v>
      </c>
      <c r="BY40" s="9">
        <v>2091</v>
      </c>
      <c r="BZ40" s="9">
        <v>2092</v>
      </c>
      <c r="CA40" s="9">
        <v>2093</v>
      </c>
      <c r="CB40" s="9">
        <v>2094</v>
      </c>
      <c r="CC40" s="9">
        <v>2095</v>
      </c>
      <c r="CD40" s="9">
        <v>2096</v>
      </c>
      <c r="CE40" s="9">
        <v>2097</v>
      </c>
      <c r="CF40" s="9">
        <v>2098</v>
      </c>
      <c r="CG40" s="9">
        <v>2099</v>
      </c>
      <c r="CH40" s="9">
        <v>2100</v>
      </c>
    </row>
    <row r="41" spans="1:86" x14ac:dyDescent="0.25">
      <c r="A41" s="1"/>
      <c r="B41" s="1" t="s">
        <v>21</v>
      </c>
      <c r="C41" s="11">
        <f>Sheet2!B10</f>
        <v>361</v>
      </c>
      <c r="D41" s="11">
        <f>Sheet2!C10</f>
        <v>495</v>
      </c>
      <c r="E41" s="11">
        <f>Sheet2!D10</f>
        <v>643</v>
      </c>
      <c r="F41" s="22">
        <f>Sheet2!J9</f>
        <v>1259</v>
      </c>
      <c r="G41" s="22">
        <f>Sheet2!K9</f>
        <v>1476</v>
      </c>
      <c r="H41" s="22">
        <f>Sheet2!L9</f>
        <v>1553</v>
      </c>
      <c r="I41" s="20">
        <f t="shared" ref="I41:R41" si="20">I42*I11</f>
        <v>1090</v>
      </c>
      <c r="J41" s="98">
        <f t="shared" si="20"/>
        <v>1100</v>
      </c>
      <c r="K41" s="98">
        <f t="shared" si="20"/>
        <v>1230</v>
      </c>
      <c r="L41" s="98">
        <f t="shared" si="20"/>
        <v>1220</v>
      </c>
      <c r="M41" s="98">
        <f t="shared" si="20"/>
        <v>1210</v>
      </c>
      <c r="N41" s="98">
        <f t="shared" si="20"/>
        <v>671</v>
      </c>
      <c r="O41" s="98">
        <f t="shared" si="20"/>
        <v>637</v>
      </c>
      <c r="P41" s="98">
        <f t="shared" si="20"/>
        <v>605</v>
      </c>
      <c r="Q41" s="98">
        <f t="shared" si="20"/>
        <v>575</v>
      </c>
      <c r="R41" s="98">
        <f t="shared" si="20"/>
        <v>549.50999999999988</v>
      </c>
    </row>
    <row r="42" spans="1:86" x14ac:dyDescent="0.25">
      <c r="A42" s="1"/>
      <c r="B42" s="93" t="s">
        <v>17</v>
      </c>
      <c r="C42" s="94">
        <f t="shared" ref="C42:H42" si="21">C41/C11</f>
        <v>7.4614526063412016E-3</v>
      </c>
      <c r="D42" s="94">
        <f t="shared" si="21"/>
        <v>8.2340807771641485E-3</v>
      </c>
      <c r="E42" s="94">
        <f t="shared" si="21"/>
        <v>8.61479923364461E-3</v>
      </c>
      <c r="F42" s="94">
        <f t="shared" si="21"/>
        <v>1.1330603428879989E-2</v>
      </c>
      <c r="G42" s="94">
        <f t="shared" si="21"/>
        <v>1.1715959422774681E-2</v>
      </c>
      <c r="H42" s="94">
        <f t="shared" si="21"/>
        <v>1.0743910285235945E-2</v>
      </c>
      <c r="I42" s="74">
        <v>7.3673538357553227E-3</v>
      </c>
      <c r="J42" s="79">
        <v>7.9785304997461379E-3</v>
      </c>
      <c r="K42" s="79">
        <v>8.5227272727272721E-3</v>
      </c>
      <c r="L42" s="79">
        <v>8.0073510107639793E-3</v>
      </c>
      <c r="M42" s="79">
        <v>7.5962081737711105E-3</v>
      </c>
      <c r="N42" s="79">
        <v>4.3557286595261287E-3</v>
      </c>
      <c r="O42" s="79">
        <v>3.875874657742623E-3</v>
      </c>
      <c r="P42" s="79">
        <v>3.5225618631732174E-3</v>
      </c>
      <c r="Q42" s="79">
        <v>3.2363370293240282E-3</v>
      </c>
      <c r="R42" s="79">
        <v>3.0000000000000001E-3</v>
      </c>
    </row>
    <row r="43" spans="1:86" x14ac:dyDescent="0.25">
      <c r="A43" s="1"/>
      <c r="B43" s="1"/>
      <c r="C43" s="1"/>
      <c r="D43" s="1"/>
      <c r="E43" s="1"/>
      <c r="G43" s="1"/>
      <c r="H43" s="1"/>
      <c r="I43" s="12"/>
      <c r="J43" s="99"/>
      <c r="K43" s="99"/>
      <c r="L43" s="99"/>
      <c r="M43" s="99"/>
      <c r="N43" s="99"/>
      <c r="O43" s="100"/>
      <c r="P43" s="100"/>
      <c r="Q43" s="100"/>
      <c r="R43" s="100"/>
    </row>
    <row r="44" spans="1:86" x14ac:dyDescent="0.25">
      <c r="A44" s="1"/>
      <c r="B44" s="1" t="s">
        <v>22</v>
      </c>
      <c r="C44" s="11">
        <f>Sheet2!B25</f>
        <v>-422</v>
      </c>
      <c r="D44" s="11">
        <f>Sheet2!C25</f>
        <v>-675</v>
      </c>
      <c r="E44" s="11">
        <f>Sheet2!D25</f>
        <v>-730</v>
      </c>
      <c r="F44" s="22">
        <f>Sheet2!J28</f>
        <v>-869</v>
      </c>
      <c r="G44" s="22">
        <f>Sheet2!K28</f>
        <v>-910</v>
      </c>
      <c r="H44" s="22">
        <f>Sheet2!L28</f>
        <v>-1004</v>
      </c>
      <c r="I44" s="20">
        <v>-980.73</v>
      </c>
      <c r="J44" s="98">
        <v>-910.12</v>
      </c>
      <c r="K44" s="98">
        <v>-978.19</v>
      </c>
      <c r="L44" s="98">
        <v>-1160</v>
      </c>
      <c r="M44" s="98">
        <v>-1210</v>
      </c>
      <c r="N44" s="98">
        <v>-1540</v>
      </c>
      <c r="O44" s="98">
        <v>-1640</v>
      </c>
      <c r="P44" s="98">
        <v>-1720</v>
      </c>
      <c r="Q44" s="98">
        <v>-1780</v>
      </c>
      <c r="R44" s="98">
        <v>-1830</v>
      </c>
    </row>
    <row r="45" spans="1:86" x14ac:dyDescent="0.25">
      <c r="A45" s="1"/>
      <c r="B45" s="93" t="s">
        <v>17</v>
      </c>
      <c r="C45" s="94">
        <f t="shared" ref="C45:H45" si="22">C44/C11</f>
        <v>-8.7222520772188006E-3</v>
      </c>
      <c r="D45" s="94">
        <f t="shared" si="22"/>
        <v>-1.1228291968860203E-2</v>
      </c>
      <c r="E45" s="94">
        <f t="shared" si="22"/>
        <v>-9.7804097053819043E-3</v>
      </c>
      <c r="F45" s="94">
        <f t="shared" si="22"/>
        <v>-7.8207262745803897E-3</v>
      </c>
      <c r="G45" s="94">
        <f t="shared" si="22"/>
        <v>-7.2232541156673179E-3</v>
      </c>
      <c r="H45" s="94">
        <f t="shared" si="22"/>
        <v>-6.9458376860121619E-3</v>
      </c>
      <c r="I45" s="74">
        <v>-7.2467601163713289E-3</v>
      </c>
      <c r="J45" s="79">
        <v>-6.9808784633395475E-3</v>
      </c>
      <c r="K45" s="79">
        <v>-6.7600586414725515E-3</v>
      </c>
      <c r="L45" s="79">
        <v>-7.4816937281120665E-3</v>
      </c>
      <c r="M45" s="79">
        <v>-8.1377279790627293E-3</v>
      </c>
      <c r="N45" s="79">
        <v>-7.8031952030884226E-3</v>
      </c>
      <c r="O45" s="79">
        <v>-7.8950516368276255E-3</v>
      </c>
      <c r="P45" s="79">
        <v>-8.0528517258903094E-3</v>
      </c>
      <c r="Q45" s="79">
        <v>-8.2397425032961474E-3</v>
      </c>
      <c r="R45" s="79">
        <v>-8.0780462937400446E-3</v>
      </c>
    </row>
    <row r="46" spans="1:86" x14ac:dyDescent="0.25">
      <c r="A46" s="1"/>
      <c r="B46" s="1"/>
      <c r="C46" s="1"/>
      <c r="D46" s="1"/>
      <c r="E46" s="1"/>
      <c r="G46" s="1"/>
      <c r="H46" s="1"/>
      <c r="I46" s="12"/>
      <c r="J46" s="99"/>
      <c r="K46" s="99"/>
      <c r="L46" s="99"/>
      <c r="M46" s="99"/>
      <c r="N46" s="99"/>
      <c r="O46" s="100"/>
      <c r="P46" s="100"/>
      <c r="Q46" s="100"/>
      <c r="R46" s="100"/>
    </row>
    <row r="47" spans="1:86" x14ac:dyDescent="0.25">
      <c r="A47" s="1"/>
      <c r="B47" s="1" t="s">
        <v>23</v>
      </c>
      <c r="C47" s="34">
        <f>SUM(Sheet2!B16:B22)</f>
        <v>293</v>
      </c>
      <c r="D47" s="34">
        <f>SUM(Sheet2!C16:C22)</f>
        <v>-171</v>
      </c>
      <c r="E47" s="34">
        <f>SUM(Sheet2!D16:D22)</f>
        <v>-1002</v>
      </c>
      <c r="F47" s="2">
        <f>SUM(Sheet2!J19:J25)</f>
        <v>2195</v>
      </c>
      <c r="G47" s="2">
        <f>SUM(Sheet2!K19:K25)</f>
        <v>1376</v>
      </c>
      <c r="H47" s="2">
        <f>SUM(Sheet2!L19:L25)</f>
        <v>2194</v>
      </c>
      <c r="I47" s="20">
        <f t="shared" ref="I47:R47" si="23">I48*I11</f>
        <v>-443.85</v>
      </c>
      <c r="J47" s="98">
        <f t="shared" si="23"/>
        <v>-413.61</v>
      </c>
      <c r="K47" s="98">
        <f t="shared" si="23"/>
        <v>-432.96000000000004</v>
      </c>
      <c r="L47" s="98">
        <f t="shared" si="23"/>
        <v>-457.08</v>
      </c>
      <c r="M47" s="98">
        <f t="shared" si="23"/>
        <v>-477.86999999999995</v>
      </c>
      <c r="N47" s="98">
        <f t="shared" si="23"/>
        <v>-462.14999999999992</v>
      </c>
      <c r="O47" s="98">
        <f t="shared" si="23"/>
        <v>-493.0499999999999</v>
      </c>
      <c r="P47" s="98">
        <f t="shared" si="23"/>
        <v>-515.24999999999989</v>
      </c>
      <c r="Q47" s="98">
        <f t="shared" si="23"/>
        <v>-533.00999999999988</v>
      </c>
      <c r="R47" s="98">
        <f t="shared" si="23"/>
        <v>-549.50999999999988</v>
      </c>
    </row>
    <row r="48" spans="1:86" x14ac:dyDescent="0.25">
      <c r="A48" s="1"/>
      <c r="B48" s="93" t="s">
        <v>17</v>
      </c>
      <c r="C48" s="94">
        <f t="shared" ref="C48:H48" si="24">C47/C11</f>
        <v>6.0559712289694513E-3</v>
      </c>
      <c r="D48" s="94">
        <f t="shared" si="24"/>
        <v>-2.8445006321112516E-3</v>
      </c>
      <c r="E48" s="94">
        <f t="shared" si="24"/>
        <v>-1.3424617157250232E-2</v>
      </c>
      <c r="F48" s="94">
        <f t="shared" si="24"/>
        <v>1.9754308599199029E-2</v>
      </c>
      <c r="G48" s="94">
        <f t="shared" si="24"/>
        <v>1.0922195234239812E-2</v>
      </c>
      <c r="H48" s="94">
        <f t="shared" si="24"/>
        <v>1.5178454066843311E-2</v>
      </c>
      <c r="I48" s="75">
        <v>-3.0000000000000001E-3</v>
      </c>
      <c r="J48" s="105">
        <v>-3.0000000000000001E-3</v>
      </c>
      <c r="K48" s="105">
        <v>-3.0000000000000001E-3</v>
      </c>
      <c r="L48" s="105">
        <v>-3.0000000000000001E-3</v>
      </c>
      <c r="M48" s="105">
        <v>-3.0000000000000001E-3</v>
      </c>
      <c r="N48" s="105">
        <v>-3.0000000000000001E-3</v>
      </c>
      <c r="O48" s="105">
        <v>-3.0000000000000001E-3</v>
      </c>
      <c r="P48" s="105">
        <v>-3.0000000000000001E-3</v>
      </c>
      <c r="Q48" s="105">
        <v>-3.0000000000000001E-3</v>
      </c>
      <c r="R48" s="105">
        <v>-3.0000000000000001E-3</v>
      </c>
      <c r="S48" s="77"/>
    </row>
    <row r="49" spans="1:86" x14ac:dyDescent="0.25">
      <c r="A49" s="1"/>
      <c r="B49" s="1"/>
      <c r="C49" s="1"/>
      <c r="D49" s="1"/>
      <c r="E49" s="1"/>
      <c r="F49" s="1"/>
      <c r="G49" s="1"/>
      <c r="H49" s="1"/>
      <c r="I49" s="12"/>
      <c r="J49" s="99"/>
      <c r="K49" s="99"/>
      <c r="L49" s="99"/>
      <c r="M49" s="99"/>
      <c r="N49" s="99"/>
      <c r="O49" s="99"/>
      <c r="P49" s="99"/>
      <c r="Q49" s="99"/>
      <c r="R49" s="100"/>
    </row>
    <row r="50" spans="1:86" x14ac:dyDescent="0.25">
      <c r="A50" s="1"/>
      <c r="B50" s="9" t="s">
        <v>24</v>
      </c>
      <c r="C50" s="11">
        <f>C34-C37</f>
        <v>873</v>
      </c>
      <c r="D50" s="11">
        <f t="shared" ref="D50:H50" si="25">D34-D37</f>
        <v>984</v>
      </c>
      <c r="E50" s="11">
        <f t="shared" si="25"/>
        <v>1308</v>
      </c>
      <c r="F50" s="11">
        <f t="shared" si="25"/>
        <v>2103</v>
      </c>
      <c r="G50" s="11">
        <f t="shared" si="25"/>
        <v>1307</v>
      </c>
      <c r="H50" s="11">
        <f t="shared" si="25"/>
        <v>558</v>
      </c>
      <c r="I50" s="63">
        <f t="shared" ref="I50:R50" si="26">I34-I37</f>
        <v>3257.9500000000016</v>
      </c>
      <c r="J50" s="102">
        <f t="shared" si="26"/>
        <v>3027.8700000000008</v>
      </c>
      <c r="K50" s="102">
        <f t="shared" si="26"/>
        <v>3514.3200000000006</v>
      </c>
      <c r="L50" s="102">
        <f t="shared" si="26"/>
        <v>3982.3599999999992</v>
      </c>
      <c r="M50" s="102">
        <f t="shared" si="26"/>
        <v>4369.2900000000009</v>
      </c>
      <c r="N50" s="102">
        <f t="shared" si="26"/>
        <v>4284.05</v>
      </c>
      <c r="O50" s="102">
        <f t="shared" si="26"/>
        <v>4634.3500000000013</v>
      </c>
      <c r="P50" s="102">
        <f t="shared" si="26"/>
        <v>4721.7500000000027</v>
      </c>
      <c r="Q50" s="102">
        <f t="shared" si="26"/>
        <v>4877.67</v>
      </c>
      <c r="R50" s="102">
        <f t="shared" si="26"/>
        <v>5093.170000000001</v>
      </c>
    </row>
    <row r="51" spans="1:86" x14ac:dyDescent="0.25">
      <c r="A51" s="1"/>
      <c r="B51" s="9" t="s">
        <v>54</v>
      </c>
      <c r="C51" s="11">
        <f>Sheet1!J30</f>
        <v>20</v>
      </c>
      <c r="D51" s="11">
        <f>Sheet1!K30</f>
        <v>6</v>
      </c>
      <c r="E51" s="11">
        <f>Sheet1!L30</f>
        <v>12</v>
      </c>
      <c r="F51" s="11">
        <f>Sheet1!D33</f>
        <v>14</v>
      </c>
      <c r="G51" s="11">
        <f>Sheet1!E33</f>
        <v>11</v>
      </c>
      <c r="H51" s="11">
        <v>0</v>
      </c>
      <c r="I51" s="63"/>
      <c r="J51" s="102"/>
      <c r="K51" s="102"/>
      <c r="L51" s="102"/>
      <c r="M51" s="102"/>
      <c r="N51" s="102"/>
      <c r="O51" s="102"/>
      <c r="P51" s="102"/>
      <c r="Q51" s="102"/>
      <c r="R51" s="102"/>
    </row>
    <row r="52" spans="1:86" x14ac:dyDescent="0.25">
      <c r="A52" s="1"/>
      <c r="B52" s="9" t="s">
        <v>25</v>
      </c>
      <c r="C52" s="11">
        <f>C32-C37+C51</f>
        <v>828</v>
      </c>
      <c r="D52" s="11">
        <f t="shared" ref="D52:H52" si="27">D32-D37+D51</f>
        <v>900</v>
      </c>
      <c r="E52" s="11">
        <f t="shared" si="27"/>
        <v>1321</v>
      </c>
      <c r="F52" s="11">
        <f t="shared" si="27"/>
        <v>1808</v>
      </c>
      <c r="G52" s="11">
        <f t="shared" si="27"/>
        <v>1347</v>
      </c>
      <c r="H52" s="11">
        <f t="shared" si="27"/>
        <v>1202</v>
      </c>
      <c r="I52" s="63">
        <f t="shared" ref="I52" si="28">I32-I37-I51</f>
        <v>3110.0000000000018</v>
      </c>
      <c r="J52" s="102">
        <f t="shared" ref="J52:R52" si="29">J32-J37-J51</f>
        <v>2890.0000000000009</v>
      </c>
      <c r="K52" s="102">
        <f t="shared" si="29"/>
        <v>3370.0000000000009</v>
      </c>
      <c r="L52" s="102">
        <f t="shared" si="29"/>
        <v>3829.9999999999995</v>
      </c>
      <c r="M52" s="102">
        <f t="shared" si="29"/>
        <v>4210</v>
      </c>
      <c r="N52" s="102">
        <f t="shared" si="29"/>
        <v>4130</v>
      </c>
      <c r="O52" s="102">
        <f t="shared" si="29"/>
        <v>4470.0000000000009</v>
      </c>
      <c r="P52" s="102">
        <f t="shared" si="29"/>
        <v>4550.0000000000027</v>
      </c>
      <c r="Q52" s="102">
        <f t="shared" si="29"/>
        <v>4700</v>
      </c>
      <c r="R52" s="102">
        <f t="shared" si="29"/>
        <v>4910.0000000000009</v>
      </c>
      <c r="S52" s="59">
        <f>R52*(1+$E$6)</f>
        <v>5008.2000000000007</v>
      </c>
      <c r="T52" s="59">
        <f t="shared" ref="T52:CE52" si="30">S52*(1+$E$6)</f>
        <v>5108.3640000000005</v>
      </c>
      <c r="U52" s="59">
        <f t="shared" si="30"/>
        <v>5210.5312800000002</v>
      </c>
      <c r="V52" s="59">
        <f t="shared" si="30"/>
        <v>5314.7419055999999</v>
      </c>
      <c r="W52" s="59">
        <f t="shared" si="30"/>
        <v>5421.0367437120003</v>
      </c>
      <c r="X52" s="59">
        <f t="shared" si="30"/>
        <v>5529.4574785862405</v>
      </c>
      <c r="Y52" s="59">
        <f t="shared" si="30"/>
        <v>5640.0466281579656</v>
      </c>
      <c r="Z52" s="59">
        <f t="shared" si="30"/>
        <v>5752.8475607211249</v>
      </c>
      <c r="AA52" s="59">
        <f t="shared" si="30"/>
        <v>5867.9045119355478</v>
      </c>
      <c r="AB52" s="59">
        <f t="shared" si="30"/>
        <v>5985.262602174259</v>
      </c>
      <c r="AC52" s="59">
        <f t="shared" si="30"/>
        <v>6104.9678542177444</v>
      </c>
      <c r="AD52" s="59">
        <f t="shared" si="30"/>
        <v>6227.0672113020992</v>
      </c>
      <c r="AE52" s="59">
        <f t="shared" si="30"/>
        <v>6351.6085555281416</v>
      </c>
      <c r="AF52" s="59">
        <f t="shared" si="30"/>
        <v>6478.6407266387041</v>
      </c>
      <c r="AG52" s="59">
        <f t="shared" si="30"/>
        <v>6608.213541171478</v>
      </c>
      <c r="AH52" s="59">
        <f t="shared" si="30"/>
        <v>6740.3778119949075</v>
      </c>
      <c r="AI52" s="59">
        <f t="shared" si="30"/>
        <v>6875.1853682348055</v>
      </c>
      <c r="AJ52" s="59">
        <f t="shared" si="30"/>
        <v>7012.6890755995018</v>
      </c>
      <c r="AK52" s="59">
        <f t="shared" si="30"/>
        <v>7152.9428571114922</v>
      </c>
      <c r="AL52" s="59">
        <f t="shared" si="30"/>
        <v>7296.0017142537226</v>
      </c>
      <c r="AM52" s="59">
        <f t="shared" si="30"/>
        <v>7441.9217485387971</v>
      </c>
      <c r="AN52" s="59">
        <f t="shared" si="30"/>
        <v>7590.7601835095729</v>
      </c>
      <c r="AO52" s="59">
        <f t="shared" si="30"/>
        <v>7742.5753871797642</v>
      </c>
      <c r="AP52" s="59">
        <f t="shared" si="30"/>
        <v>7897.4268949233592</v>
      </c>
      <c r="AQ52" s="59">
        <f t="shared" si="30"/>
        <v>8055.3754328218265</v>
      </c>
      <c r="AR52" s="59">
        <f t="shared" si="30"/>
        <v>8216.4829414782635</v>
      </c>
      <c r="AS52" s="59">
        <f t="shared" si="30"/>
        <v>8380.8126003078287</v>
      </c>
      <c r="AT52" s="59">
        <f t="shared" si="30"/>
        <v>8548.4288523139858</v>
      </c>
      <c r="AU52" s="59">
        <f t="shared" si="30"/>
        <v>8719.397429360266</v>
      </c>
      <c r="AV52" s="59">
        <f t="shared" si="30"/>
        <v>8893.7853779474717</v>
      </c>
      <c r="AW52" s="59">
        <f t="shared" si="30"/>
        <v>9071.6610855064209</v>
      </c>
      <c r="AX52" s="59">
        <f t="shared" si="30"/>
        <v>9253.0943072165501</v>
      </c>
      <c r="AY52" s="59">
        <f t="shared" si="30"/>
        <v>9438.1561933608809</v>
      </c>
      <c r="AZ52" s="59">
        <f t="shared" si="30"/>
        <v>9626.9193172280993</v>
      </c>
      <c r="BA52" s="59">
        <f t="shared" si="30"/>
        <v>9819.4577035726616</v>
      </c>
      <c r="BB52" s="59">
        <f t="shared" si="30"/>
        <v>10015.846857644116</v>
      </c>
      <c r="BC52" s="59">
        <f t="shared" si="30"/>
        <v>10216.163794796998</v>
      </c>
      <c r="BD52" s="59">
        <f t="shared" si="30"/>
        <v>10420.487070692938</v>
      </c>
      <c r="BE52" s="59">
        <f t="shared" si="30"/>
        <v>10628.896812106797</v>
      </c>
      <c r="BF52" s="59">
        <f t="shared" si="30"/>
        <v>10841.474748348934</v>
      </c>
      <c r="BG52" s="59">
        <f t="shared" si="30"/>
        <v>11058.304243315912</v>
      </c>
      <c r="BH52" s="59">
        <f t="shared" si="30"/>
        <v>11279.470328182229</v>
      </c>
      <c r="BI52" s="59">
        <f t="shared" si="30"/>
        <v>11505.059734745873</v>
      </c>
      <c r="BJ52" s="59">
        <f t="shared" si="30"/>
        <v>11735.160929440792</v>
      </c>
      <c r="BK52" s="59">
        <f t="shared" si="30"/>
        <v>11969.864148029608</v>
      </c>
      <c r="BL52" s="59">
        <f t="shared" si="30"/>
        <v>12209.2614309902</v>
      </c>
      <c r="BM52" s="59">
        <f t="shared" si="30"/>
        <v>12453.446659610005</v>
      </c>
      <c r="BN52" s="59">
        <f t="shared" si="30"/>
        <v>12702.515592802205</v>
      </c>
      <c r="BO52" s="59">
        <f t="shared" si="30"/>
        <v>12956.56590465825</v>
      </c>
      <c r="BP52" s="59">
        <f t="shared" si="30"/>
        <v>13215.697222751414</v>
      </c>
      <c r="BQ52" s="59">
        <f t="shared" si="30"/>
        <v>13480.011167206443</v>
      </c>
      <c r="BR52" s="59">
        <f t="shared" si="30"/>
        <v>13749.611390550572</v>
      </c>
      <c r="BS52" s="59">
        <f t="shared" si="30"/>
        <v>14024.603618361583</v>
      </c>
      <c r="BT52" s="59">
        <f t="shared" si="30"/>
        <v>14305.095690728815</v>
      </c>
      <c r="BU52" s="59">
        <f t="shared" si="30"/>
        <v>14591.197604543391</v>
      </c>
      <c r="BV52" s="59">
        <f t="shared" si="30"/>
        <v>14883.021556634259</v>
      </c>
      <c r="BW52" s="59">
        <f t="shared" si="30"/>
        <v>15180.681987766944</v>
      </c>
      <c r="BX52" s="59">
        <f t="shared" si="30"/>
        <v>15484.295627522284</v>
      </c>
      <c r="BY52" s="59">
        <f t="shared" si="30"/>
        <v>15793.981540072729</v>
      </c>
      <c r="BZ52" s="59">
        <f t="shared" si="30"/>
        <v>16109.861170874185</v>
      </c>
      <c r="CA52" s="59">
        <f t="shared" si="30"/>
        <v>16432.058394291667</v>
      </c>
      <c r="CB52" s="59">
        <f t="shared" si="30"/>
        <v>16760.699562177502</v>
      </c>
      <c r="CC52" s="59">
        <f t="shared" si="30"/>
        <v>17095.913553421051</v>
      </c>
      <c r="CD52" s="59">
        <f t="shared" si="30"/>
        <v>17437.831824489473</v>
      </c>
      <c r="CE52" s="59">
        <f t="shared" si="30"/>
        <v>17786.588460979263</v>
      </c>
      <c r="CF52" s="59">
        <f t="shared" ref="CF52:CH52" si="31">CE52*(1+$E$6)</f>
        <v>18142.320230198849</v>
      </c>
      <c r="CG52" s="59">
        <f t="shared" si="31"/>
        <v>18505.166634802827</v>
      </c>
      <c r="CH52" s="59">
        <f t="shared" si="31"/>
        <v>18875.269967498883</v>
      </c>
    </row>
    <row r="53" spans="1:86" x14ac:dyDescent="0.25">
      <c r="A53" s="1"/>
      <c r="B53" s="6"/>
      <c r="C53" s="21"/>
      <c r="D53" s="21"/>
      <c r="E53" s="21"/>
      <c r="F53" s="21"/>
      <c r="G53" s="21"/>
      <c r="H53" s="21"/>
      <c r="I53" s="12"/>
      <c r="J53" s="99"/>
      <c r="K53" s="99"/>
      <c r="L53" s="99"/>
      <c r="M53" s="99"/>
      <c r="N53" s="99"/>
      <c r="O53" s="99"/>
      <c r="P53" s="99"/>
      <c r="Q53" s="99"/>
      <c r="R53" s="99"/>
    </row>
    <row r="54" spans="1:86" x14ac:dyDescent="0.25">
      <c r="A54" s="1"/>
      <c r="B54" s="9" t="s">
        <v>26</v>
      </c>
      <c r="C54" s="11">
        <f>C50+C41+C44-C47</f>
        <v>519</v>
      </c>
      <c r="D54" s="11">
        <f t="shared" ref="D54:H54" si="32">D50+D41+D44-D47</f>
        <v>975</v>
      </c>
      <c r="E54" s="11">
        <f t="shared" si="32"/>
        <v>2223</v>
      </c>
      <c r="F54" s="11">
        <f t="shared" si="32"/>
        <v>298</v>
      </c>
      <c r="G54" s="11">
        <f t="shared" si="32"/>
        <v>497</v>
      </c>
      <c r="H54" s="11">
        <f t="shared" si="32"/>
        <v>-1087</v>
      </c>
      <c r="I54" s="63">
        <f t="shared" ref="I54:R54" si="33">I50+I41+I44-I47</f>
        <v>3811.0700000000015</v>
      </c>
      <c r="J54" s="102">
        <f t="shared" si="33"/>
        <v>3631.360000000001</v>
      </c>
      <c r="K54" s="102">
        <f t="shared" si="33"/>
        <v>4199.09</v>
      </c>
      <c r="L54" s="102">
        <f t="shared" si="33"/>
        <v>4499.4399999999987</v>
      </c>
      <c r="M54" s="102">
        <f t="shared" si="33"/>
        <v>4847.1600000000008</v>
      </c>
      <c r="N54" s="102">
        <f t="shared" si="33"/>
        <v>3877.2000000000003</v>
      </c>
      <c r="O54" s="102">
        <f t="shared" si="33"/>
        <v>4124.4000000000015</v>
      </c>
      <c r="P54" s="102">
        <f t="shared" si="33"/>
        <v>4122.0000000000027</v>
      </c>
      <c r="Q54" s="102">
        <f t="shared" si="33"/>
        <v>4205.68</v>
      </c>
      <c r="R54" s="102">
        <f t="shared" si="33"/>
        <v>4362.1900000000014</v>
      </c>
    </row>
    <row r="55" spans="1:86" x14ac:dyDescent="0.25">
      <c r="A55" s="1"/>
      <c r="B55" s="23" t="s">
        <v>27</v>
      </c>
      <c r="C55" s="1"/>
      <c r="D55" s="1"/>
      <c r="E55" s="1"/>
      <c r="F55" s="1"/>
      <c r="G55" s="1"/>
      <c r="H55" s="1"/>
      <c r="I55" s="62">
        <f t="shared" ref="I55:R55" si="34">I54/((1+$E$5)^I9)</f>
        <v>3549.5315861880454</v>
      </c>
      <c r="J55" s="60">
        <f t="shared" si="34"/>
        <v>3150.0507033352774</v>
      </c>
      <c r="K55" s="60">
        <f t="shared" si="34"/>
        <v>3392.5600318030124</v>
      </c>
      <c r="L55" s="60">
        <f t="shared" si="34"/>
        <v>3385.750431777868</v>
      </c>
      <c r="M55" s="60">
        <f t="shared" si="34"/>
        <v>3397.0970379342348</v>
      </c>
      <c r="N55" s="60">
        <f t="shared" si="34"/>
        <v>2530.8296892059234</v>
      </c>
      <c r="O55" s="60">
        <f t="shared" si="34"/>
        <v>2507.4345981593337</v>
      </c>
      <c r="P55" s="60">
        <f t="shared" si="34"/>
        <v>2334.0004891844801</v>
      </c>
      <c r="Q55" s="60">
        <f t="shared" si="34"/>
        <v>2217.9579078165875</v>
      </c>
      <c r="R55" s="60">
        <f t="shared" si="34"/>
        <v>2142.623046398272</v>
      </c>
    </row>
    <row r="56" spans="1:86" x14ac:dyDescent="0.25">
      <c r="A56" s="1"/>
      <c r="B56" s="24"/>
      <c r="C56" s="24"/>
      <c r="D56" s="24"/>
      <c r="E56" s="24"/>
      <c r="F56" s="24"/>
      <c r="G56" s="24"/>
      <c r="H56" s="24"/>
      <c r="I56" s="15"/>
      <c r="J56" s="1"/>
      <c r="K56" s="1"/>
      <c r="L56" s="1"/>
      <c r="M56" s="1"/>
      <c r="N56" s="1"/>
      <c r="O56" s="1"/>
      <c r="P56" s="1"/>
      <c r="Q56" s="1"/>
      <c r="R56" s="1"/>
    </row>
    <row r="57" spans="1:86" x14ac:dyDescent="0.25">
      <c r="A57" s="1"/>
      <c r="B57" s="1" t="s">
        <v>28</v>
      </c>
      <c r="C57" s="25">
        <f>(R54*(1+$E$6))/($E$5-$E$6)</f>
        <v>82884.227990870757</v>
      </c>
      <c r="D57" s="1"/>
      <c r="E57" s="1" t="s">
        <v>29</v>
      </c>
      <c r="F57" s="18">
        <f>NPV($E$5,I52:CH52)</f>
        <v>71261.871416880735</v>
      </c>
      <c r="G57" s="1"/>
      <c r="H57" s="1"/>
      <c r="I57" s="15"/>
      <c r="J57" s="1"/>
      <c r="K57" s="1"/>
      <c r="L57" s="1"/>
      <c r="M57" s="1"/>
      <c r="N57" s="1"/>
      <c r="O57" s="1"/>
      <c r="P57" s="1"/>
      <c r="Q57" s="1"/>
    </row>
    <row r="58" spans="1:86" x14ac:dyDescent="0.25">
      <c r="A58" s="1"/>
      <c r="B58" s="3" t="s">
        <v>30</v>
      </c>
      <c r="C58" s="26">
        <f>C57/((1+$E$5)^$R$9)</f>
        <v>40711.123787860772</v>
      </c>
      <c r="D58" s="16"/>
      <c r="E58" s="3"/>
      <c r="F58" s="3"/>
      <c r="G58" s="3"/>
      <c r="H58" s="16"/>
      <c r="I58" s="12"/>
      <c r="J58" s="1"/>
      <c r="L58" s="50" t="s">
        <v>51</v>
      </c>
      <c r="M58" s="51"/>
      <c r="N58" s="51"/>
      <c r="O58" s="51"/>
      <c r="P58" s="51"/>
      <c r="Q58" s="50"/>
    </row>
    <row r="59" spans="1:86" x14ac:dyDescent="0.25">
      <c r="A59" s="1"/>
      <c r="B59" s="6" t="s">
        <v>31</v>
      </c>
      <c r="C59" s="6"/>
      <c r="D59" s="1"/>
      <c r="E59" s="6"/>
      <c r="F59" s="6"/>
      <c r="G59" s="27" t="s">
        <v>32</v>
      </c>
      <c r="H59" s="27" t="s">
        <v>29</v>
      </c>
      <c r="I59" s="15"/>
      <c r="J59" s="1"/>
      <c r="K59" s="50"/>
      <c r="L59" s="76">
        <f>D65</f>
        <v>88.879533418485892</v>
      </c>
      <c r="M59" s="52">
        <v>-0.01</v>
      </c>
      <c r="N59" s="52">
        <v>0.01</v>
      </c>
      <c r="O59" s="52">
        <v>0.02</v>
      </c>
      <c r="P59" s="52">
        <v>0.03</v>
      </c>
      <c r="Q59" s="52">
        <v>0.04</v>
      </c>
    </row>
    <row r="60" spans="1:86" x14ac:dyDescent="0.25">
      <c r="A60" s="1"/>
      <c r="B60" s="28" t="s">
        <v>33</v>
      </c>
      <c r="C60" s="1"/>
      <c r="D60" s="22">
        <v>17170</v>
      </c>
      <c r="E60" s="1"/>
      <c r="F60" s="1"/>
      <c r="G60" s="25">
        <f>C58+SUM(I55:R55)</f>
        <v>69318.959309663798</v>
      </c>
      <c r="H60" s="18">
        <f>F57</f>
        <v>71261.871416880735</v>
      </c>
      <c r="I60" s="15"/>
      <c r="J60" s="1"/>
      <c r="K60" s="50"/>
      <c r="L60" s="53">
        <f>L61-1%</f>
        <v>5.3791621105053679E-2</v>
      </c>
      <c r="M60" s="54">
        <f t="dataTable" ref="M60:Q64" dt2D="1" dtr="1" r1="E6" r2="E5"/>
        <v>93.656201962915134</v>
      </c>
      <c r="N60" s="54">
        <v>129.0502086530538</v>
      </c>
      <c r="O60" s="54">
        <v>159.77564755947182</v>
      </c>
      <c r="P60" s="54">
        <v>210.46767293492024</v>
      </c>
      <c r="Q60" s="54">
        <v>315.24172219684414</v>
      </c>
    </row>
    <row r="61" spans="1:86" x14ac:dyDescent="0.25">
      <c r="A61" s="1"/>
      <c r="B61" s="29" t="s">
        <v>34</v>
      </c>
      <c r="C61" s="3"/>
      <c r="D61" s="69">
        <f>31306-9868</f>
        <v>21438</v>
      </c>
      <c r="E61" s="3"/>
      <c r="F61" s="3"/>
      <c r="G61" s="3"/>
      <c r="H61" s="3"/>
      <c r="I61" s="15"/>
      <c r="J61" s="1"/>
      <c r="K61" s="51"/>
      <c r="L61" s="53">
        <f>L62-1%</f>
        <v>6.3791621105053681E-2</v>
      </c>
      <c r="M61" s="54">
        <v>74.451099222771688</v>
      </c>
      <c r="N61" s="55">
        <v>98.078657168977628</v>
      </c>
      <c r="O61" s="55">
        <v>116.99461413403569</v>
      </c>
      <c r="P61" s="55">
        <v>145.13046312632645</v>
      </c>
      <c r="Q61" s="54">
        <v>191.52674877121655</v>
      </c>
    </row>
    <row r="62" spans="1:86" x14ac:dyDescent="0.25">
      <c r="A62" s="1"/>
      <c r="B62" s="6" t="s">
        <v>35</v>
      </c>
      <c r="C62" s="6"/>
      <c r="D62" s="6"/>
      <c r="E62" s="6"/>
      <c r="F62" s="6"/>
      <c r="G62" s="30">
        <f>(G60+D60-D61)-17896</f>
        <v>47154.959309663798</v>
      </c>
      <c r="H62" s="31">
        <f>(H60+D60-D61)-17896</f>
        <v>49097.871416880735</v>
      </c>
      <c r="I62" s="15"/>
      <c r="J62"/>
      <c r="K62" s="50" t="s">
        <v>1</v>
      </c>
      <c r="L62" s="56">
        <v>7.3791621105053676E-2</v>
      </c>
      <c r="M62" s="54">
        <v>59.772125803336529</v>
      </c>
      <c r="N62" s="55">
        <v>76.209123127557859</v>
      </c>
      <c r="O62" s="57">
        <v>88.622274529441199</v>
      </c>
      <c r="P62" s="55">
        <v>105.96975908727379</v>
      </c>
      <c r="Q62" s="54">
        <v>131.75490291678011</v>
      </c>
    </row>
    <row r="63" spans="1:86" x14ac:dyDescent="0.25">
      <c r="A63" s="1"/>
      <c r="B63" s="3" t="s">
        <v>36</v>
      </c>
      <c r="C63" s="3"/>
      <c r="D63" s="34">
        <f>541479163/1000000</f>
        <v>541.47916299999997</v>
      </c>
      <c r="E63" s="3"/>
      <c r="F63" s="3"/>
      <c r="G63" s="3"/>
      <c r="H63" s="3"/>
      <c r="I63" s="15"/>
      <c r="J63" s="1"/>
      <c r="K63" s="50"/>
      <c r="L63" s="58">
        <f>L62+1%</f>
        <v>8.3791621105053671E-2</v>
      </c>
      <c r="M63" s="54">
        <v>48.2253828390119</v>
      </c>
      <c r="N63" s="55">
        <v>60.033982182627234</v>
      </c>
      <c r="O63" s="55">
        <v>68.555836873489511</v>
      </c>
      <c r="P63" s="55">
        <v>79.955846382423658</v>
      </c>
      <c r="Q63" s="54">
        <v>95.877194616392558</v>
      </c>
    </row>
    <row r="64" spans="1:86" x14ac:dyDescent="0.25">
      <c r="A64" s="1"/>
      <c r="B64" s="17" t="s">
        <v>37</v>
      </c>
      <c r="C64" s="17"/>
      <c r="D64" s="17">
        <f>D63*$J$5</f>
        <v>34562.614974289994</v>
      </c>
      <c r="E64" s="17"/>
      <c r="F64" s="17"/>
      <c r="G64" s="17"/>
      <c r="H64" s="32"/>
      <c r="I64" s="1"/>
      <c r="J64" s="1"/>
      <c r="K64" s="50"/>
      <c r="L64" s="58">
        <f>L63+1%</f>
        <v>9.3791621105053666E-2</v>
      </c>
      <c r="M64" s="54">
        <v>38.926525867122166</v>
      </c>
      <c r="N64" s="54">
        <v>47.634540866153529</v>
      </c>
      <c r="O64" s="54">
        <v>53.691470758649352</v>
      </c>
      <c r="P64" s="54">
        <v>61.527784695072668</v>
      </c>
      <c r="Q64" s="54">
        <v>72.005203317672482</v>
      </c>
    </row>
    <row r="65" spans="1:10" x14ac:dyDescent="0.25">
      <c r="A65" s="1"/>
      <c r="B65" s="6" t="s">
        <v>38</v>
      </c>
      <c r="C65" s="6" t="s">
        <v>39</v>
      </c>
      <c r="D65" s="33">
        <f>(G65+H65)/2</f>
        <v>88.879533418485892</v>
      </c>
      <c r="F65" s="6"/>
      <c r="G65" s="33">
        <f>G62/D63</f>
        <v>87.085455049474916</v>
      </c>
      <c r="H65" s="33">
        <f>H62/D63</f>
        <v>90.673611787496867</v>
      </c>
      <c r="I65" s="15"/>
      <c r="J65" s="1"/>
    </row>
    <row r="66" spans="1:10" x14ac:dyDescent="0.25">
      <c r="A66"/>
      <c r="C66" s="1"/>
      <c r="D66" s="1"/>
    </row>
  </sheetData>
  <sortState xmlns:xlrd2="http://schemas.microsoft.com/office/spreadsheetml/2017/richdata2" columnSort="1" ref="C10:H54">
    <sortCondition ref="C10:H1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A2C0-4406-49B1-853C-D1DD53DA8B2A}">
  <dimension ref="A1:T45"/>
  <sheetViews>
    <sheetView topLeftCell="A19" workbookViewId="0">
      <selection activeCell="M33" sqref="M33"/>
    </sheetView>
  </sheetViews>
  <sheetFormatPr defaultRowHeight="15" x14ac:dyDescent="0.25"/>
  <cols>
    <col min="4" max="6" width="10" customWidth="1"/>
    <col min="9" max="9" width="38.5703125" customWidth="1"/>
  </cols>
  <sheetData>
    <row r="1" spans="1:20" x14ac:dyDescent="0.25">
      <c r="A1" s="80" t="s">
        <v>56</v>
      </c>
      <c r="B1" s="80"/>
      <c r="C1" s="80"/>
      <c r="D1" s="80"/>
      <c r="E1" s="80"/>
      <c r="F1" s="80"/>
      <c r="I1" s="91" t="s">
        <v>56</v>
      </c>
      <c r="J1" s="91"/>
      <c r="K1" s="91"/>
      <c r="L1" s="91"/>
      <c r="M1" s="91"/>
      <c r="N1" s="91"/>
    </row>
    <row r="3" spans="1:20" x14ac:dyDescent="0.25"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</row>
    <row r="4" spans="1:20" x14ac:dyDescent="0.25">
      <c r="A4" s="80"/>
      <c r="B4" s="80"/>
      <c r="C4" s="80"/>
      <c r="D4" s="80" t="s">
        <v>57</v>
      </c>
      <c r="E4" s="80"/>
      <c r="F4" s="80"/>
      <c r="G4" s="80"/>
      <c r="H4" s="80"/>
    </row>
    <row r="5" spans="1:20" x14ac:dyDescent="0.25">
      <c r="A5" s="80"/>
      <c r="B5" s="80"/>
      <c r="C5" s="80"/>
      <c r="D5" s="80" t="s">
        <v>60</v>
      </c>
      <c r="E5" s="80" t="s">
        <v>59</v>
      </c>
      <c r="F5" s="80" t="s">
        <v>58</v>
      </c>
      <c r="G5" s="80"/>
      <c r="H5" s="80"/>
      <c r="J5" s="90" t="s">
        <v>57</v>
      </c>
      <c r="K5" s="90"/>
      <c r="L5" s="90"/>
      <c r="M5" s="90"/>
      <c r="N5" s="90"/>
      <c r="O5" s="90"/>
      <c r="P5" s="90"/>
      <c r="Q5" s="90"/>
      <c r="R5" s="90"/>
      <c r="S5" s="90"/>
      <c r="T5" s="90"/>
    </row>
    <row r="6" spans="1:20" x14ac:dyDescent="0.25">
      <c r="A6" s="80" t="s">
        <v>61</v>
      </c>
      <c r="B6" s="80"/>
      <c r="C6" s="80"/>
      <c r="F6" s="80"/>
      <c r="G6" s="80"/>
      <c r="H6" s="80"/>
      <c r="J6" s="80" t="s">
        <v>97</v>
      </c>
      <c r="K6" s="80" t="s">
        <v>96</v>
      </c>
      <c r="L6" s="80" t="s">
        <v>95</v>
      </c>
      <c r="M6" s="80"/>
      <c r="N6" s="80"/>
      <c r="P6" s="80"/>
      <c r="Q6" s="80"/>
      <c r="S6" s="80"/>
      <c r="T6" s="80"/>
    </row>
    <row r="7" spans="1:20" x14ac:dyDescent="0.25">
      <c r="A7" s="80" t="s">
        <v>62</v>
      </c>
      <c r="B7" s="80"/>
      <c r="C7" s="80"/>
      <c r="D7" s="83">
        <v>100055</v>
      </c>
      <c r="E7" s="83">
        <v>112319</v>
      </c>
      <c r="F7" s="83">
        <v>127131</v>
      </c>
      <c r="G7" s="83"/>
      <c r="I7" s="80" t="s">
        <v>61</v>
      </c>
    </row>
    <row r="8" spans="1:20" x14ac:dyDescent="0.25">
      <c r="A8" s="80" t="s">
        <v>63</v>
      </c>
      <c r="B8" s="80"/>
      <c r="C8" s="80"/>
      <c r="D8" s="81">
        <v>3745</v>
      </c>
      <c r="E8" s="81">
        <v>5664</v>
      </c>
      <c r="F8" s="81">
        <v>8348</v>
      </c>
      <c r="G8" s="81"/>
      <c r="I8" t="s">
        <v>62</v>
      </c>
      <c r="J8" s="86">
        <v>43353</v>
      </c>
      <c r="K8" s="86">
        <v>53629</v>
      </c>
      <c r="L8" s="86">
        <v>67439</v>
      </c>
      <c r="M8" s="86"/>
      <c r="P8" s="86"/>
      <c r="S8" s="86"/>
    </row>
    <row r="9" spans="1:20" x14ac:dyDescent="0.25">
      <c r="A9" s="80" t="s">
        <v>64</v>
      </c>
      <c r="B9" s="80"/>
      <c r="C9" s="80"/>
      <c r="D9" s="81">
        <v>103800</v>
      </c>
      <c r="E9" s="81">
        <v>117983</v>
      </c>
      <c r="F9" s="81">
        <v>135479</v>
      </c>
      <c r="G9" s="81"/>
      <c r="I9" t="s">
        <v>63</v>
      </c>
      <c r="J9" s="34">
        <v>2267</v>
      </c>
      <c r="K9" s="34">
        <v>2806</v>
      </c>
      <c r="L9" s="34">
        <v>2925</v>
      </c>
      <c r="M9" s="34"/>
      <c r="P9" s="34"/>
      <c r="S9" s="34"/>
    </row>
    <row r="10" spans="1:20" x14ac:dyDescent="0.25">
      <c r="A10" s="80" t="s">
        <v>65</v>
      </c>
      <c r="B10" s="80"/>
      <c r="C10" s="80"/>
      <c r="D10" s="81">
        <v>7315</v>
      </c>
      <c r="E10" s="81">
        <v>7999</v>
      </c>
      <c r="F10" s="81">
        <v>9068</v>
      </c>
      <c r="G10" s="81"/>
      <c r="I10" t="s">
        <v>64</v>
      </c>
      <c r="J10" s="34">
        <v>45620</v>
      </c>
      <c r="K10" s="34">
        <v>56435</v>
      </c>
      <c r="L10" s="34">
        <v>70364</v>
      </c>
      <c r="M10" s="34"/>
      <c r="P10" s="34"/>
      <c r="S10" s="34"/>
    </row>
    <row r="11" spans="1:20" x14ac:dyDescent="0.25">
      <c r="A11" s="80" t="s">
        <v>66</v>
      </c>
      <c r="B11" s="80"/>
      <c r="C11" s="80"/>
      <c r="D11" s="81">
        <v>111115</v>
      </c>
      <c r="E11" s="81">
        <v>125982</v>
      </c>
      <c r="F11" s="81">
        <v>144547</v>
      </c>
      <c r="G11" s="81"/>
      <c r="I11" t="s">
        <v>65</v>
      </c>
      <c r="J11" s="34">
        <v>2762</v>
      </c>
      <c r="K11" s="34">
        <v>3681</v>
      </c>
      <c r="L11" s="34">
        <v>4275</v>
      </c>
      <c r="M11" s="34"/>
      <c r="P11" s="34"/>
      <c r="S11" s="34"/>
    </row>
    <row r="12" spans="1:20" x14ac:dyDescent="0.25">
      <c r="A12" s="80" t="s">
        <v>67</v>
      </c>
      <c r="B12" s="80"/>
      <c r="C12" s="80"/>
      <c r="D12" s="80"/>
      <c r="E12" s="80"/>
      <c r="F12" s="80"/>
      <c r="G12" s="80"/>
      <c r="H12" s="80"/>
      <c r="I12" s="80" t="s">
        <v>66</v>
      </c>
      <c r="J12" s="34">
        <v>48382</v>
      </c>
      <c r="K12" s="34">
        <v>60116</v>
      </c>
      <c r="L12" s="34">
        <v>74639</v>
      </c>
      <c r="M12" s="34"/>
      <c r="P12" s="34"/>
      <c r="S12" s="34"/>
    </row>
    <row r="13" spans="1:20" x14ac:dyDescent="0.25">
      <c r="A13" s="80" t="s">
        <v>68</v>
      </c>
      <c r="B13" s="80"/>
      <c r="C13" s="80"/>
      <c r="D13" s="81">
        <v>86264</v>
      </c>
      <c r="E13" s="81">
        <v>98602</v>
      </c>
      <c r="F13" s="81">
        <v>111529</v>
      </c>
      <c r="G13" s="81"/>
      <c r="I13" s="80" t="s">
        <v>67</v>
      </c>
    </row>
    <row r="14" spans="1:20" x14ac:dyDescent="0.25">
      <c r="A14" s="80" t="s">
        <v>69</v>
      </c>
      <c r="B14" s="80"/>
      <c r="C14" s="80"/>
      <c r="D14" s="81">
        <v>3303</v>
      </c>
      <c r="E14" s="81">
        <v>4894</v>
      </c>
      <c r="F14" s="81">
        <v>7032</v>
      </c>
      <c r="G14" s="81"/>
      <c r="I14" t="s">
        <v>68</v>
      </c>
      <c r="J14" s="34">
        <v>37851</v>
      </c>
      <c r="K14" s="34">
        <v>46057</v>
      </c>
      <c r="L14" s="34">
        <v>58862</v>
      </c>
      <c r="M14" s="34"/>
      <c r="P14" s="34"/>
      <c r="S14" s="34"/>
    </row>
    <row r="15" spans="1:20" x14ac:dyDescent="0.25">
      <c r="A15" s="80" t="s">
        <v>70</v>
      </c>
      <c r="B15" s="80"/>
      <c r="C15" s="80"/>
      <c r="D15" s="81">
        <v>9380</v>
      </c>
      <c r="E15" s="81">
        <v>9601</v>
      </c>
      <c r="F15" s="81">
        <v>11589</v>
      </c>
      <c r="G15" s="81"/>
      <c r="I15" t="s">
        <v>69</v>
      </c>
      <c r="J15" s="34">
        <v>1847</v>
      </c>
      <c r="K15" s="34">
        <v>2386</v>
      </c>
      <c r="L15" s="34">
        <v>2465</v>
      </c>
      <c r="M15" s="34"/>
      <c r="P15" s="34"/>
      <c r="S15" s="34"/>
    </row>
    <row r="16" spans="1:20" x14ac:dyDescent="0.25">
      <c r="A16" s="80" t="s">
        <v>71</v>
      </c>
      <c r="B16" s="80"/>
      <c r="C16" s="80"/>
      <c r="D16" s="81">
        <v>487</v>
      </c>
      <c r="E16" s="81">
        <v>565</v>
      </c>
      <c r="F16" s="81">
        <v>614</v>
      </c>
      <c r="G16" s="81"/>
      <c r="I16" t="s">
        <v>70</v>
      </c>
      <c r="J16" s="34">
        <v>4446</v>
      </c>
      <c r="K16" s="34">
        <v>6043</v>
      </c>
      <c r="L16" s="34">
        <v>6533</v>
      </c>
      <c r="M16" s="34"/>
      <c r="P16" s="34"/>
      <c r="S16" s="34"/>
    </row>
    <row r="17" spans="1:19" x14ac:dyDescent="0.25">
      <c r="A17" s="80" t="s">
        <v>72</v>
      </c>
      <c r="B17" s="80"/>
      <c r="C17" s="80"/>
      <c r="D17" s="81">
        <v>719</v>
      </c>
      <c r="E17" s="81">
        <v>770</v>
      </c>
      <c r="F17" s="81">
        <v>817</v>
      </c>
      <c r="G17" s="81"/>
      <c r="I17" t="s">
        <v>72</v>
      </c>
      <c r="J17" s="34">
        <v>156</v>
      </c>
      <c r="K17" s="34">
        <v>211</v>
      </c>
      <c r="L17" s="34">
        <v>258</v>
      </c>
      <c r="M17" s="34"/>
      <c r="P17" s="34"/>
      <c r="S17" s="34"/>
    </row>
    <row r="18" spans="1:19" x14ac:dyDescent="0.25">
      <c r="A18" s="80" t="s">
        <v>73</v>
      </c>
      <c r="B18" s="80"/>
      <c r="C18" s="80"/>
      <c r="D18" s="81">
        <v>6332</v>
      </c>
      <c r="E18" s="81">
        <v>8287</v>
      </c>
      <c r="F18" s="81">
        <v>9330</v>
      </c>
      <c r="G18" s="81"/>
      <c r="I18" t="s">
        <v>73</v>
      </c>
      <c r="J18" s="34">
        <v>2883</v>
      </c>
      <c r="K18" s="34">
        <v>3252</v>
      </c>
      <c r="L18" s="34">
        <v>4469</v>
      </c>
      <c r="M18" s="34"/>
      <c r="P18" s="34"/>
      <c r="S18" s="34"/>
    </row>
    <row r="19" spans="1:19" x14ac:dyDescent="0.25">
      <c r="A19" s="80" t="s">
        <v>74</v>
      </c>
      <c r="B19" s="80"/>
      <c r="C19" s="80"/>
      <c r="D19" s="81">
        <v>1476</v>
      </c>
      <c r="E19" s="80" t="s">
        <v>75</v>
      </c>
      <c r="F19" s="80" t="s">
        <v>75</v>
      </c>
      <c r="G19" s="80"/>
      <c r="I19" t="s">
        <v>74</v>
      </c>
      <c r="J19" t="s">
        <v>75</v>
      </c>
      <c r="K19" s="34">
        <v>709</v>
      </c>
      <c r="L19" t="s">
        <v>75</v>
      </c>
      <c r="P19" s="34"/>
    </row>
    <row r="20" spans="1:19" x14ac:dyDescent="0.25">
      <c r="A20" s="80" t="s">
        <v>76</v>
      </c>
      <c r="B20" s="80"/>
      <c r="C20" s="80"/>
      <c r="D20" s="81">
        <v>72</v>
      </c>
      <c r="E20" s="81">
        <v>229</v>
      </c>
      <c r="F20" s="81">
        <v>2318</v>
      </c>
      <c r="G20" s="81"/>
      <c r="I20" t="s">
        <v>98</v>
      </c>
      <c r="J20" t="s">
        <v>75</v>
      </c>
      <c r="K20" t="s">
        <v>75</v>
      </c>
      <c r="L20" s="34">
        <v>271</v>
      </c>
      <c r="M20" s="34"/>
    </row>
    <row r="21" spans="1:19" x14ac:dyDescent="0.25">
      <c r="A21" s="80" t="s">
        <v>77</v>
      </c>
      <c r="B21" s="80"/>
      <c r="C21" s="80"/>
      <c r="D21" s="80" t="s">
        <v>75</v>
      </c>
      <c r="E21" s="81">
        <v>1250</v>
      </c>
      <c r="F21" s="80" t="s">
        <v>75</v>
      </c>
      <c r="G21" s="80"/>
      <c r="I21" s="80" t="s">
        <v>78</v>
      </c>
      <c r="J21" s="34">
        <v>47183</v>
      </c>
      <c r="K21" s="34">
        <v>58658</v>
      </c>
      <c r="L21" s="34">
        <v>72858</v>
      </c>
      <c r="M21" s="34"/>
      <c r="P21" s="34"/>
      <c r="S21" s="34"/>
    </row>
    <row r="22" spans="1:19" x14ac:dyDescent="0.25">
      <c r="A22" s="80" t="s">
        <v>78</v>
      </c>
      <c r="B22" s="80"/>
      <c r="C22" s="80"/>
      <c r="D22" s="81">
        <v>108033</v>
      </c>
      <c r="E22" s="81">
        <v>124198</v>
      </c>
      <c r="F22" s="81">
        <v>143229</v>
      </c>
      <c r="G22" s="81"/>
      <c r="I22" t="s">
        <v>79</v>
      </c>
      <c r="J22" s="34">
        <v>1199</v>
      </c>
      <c r="K22" s="34">
        <v>1458</v>
      </c>
      <c r="L22" s="34">
        <v>1781</v>
      </c>
      <c r="M22" s="34"/>
      <c r="P22" s="34"/>
      <c r="S22" s="34"/>
    </row>
    <row r="23" spans="1:19" x14ac:dyDescent="0.25">
      <c r="A23" s="80" t="s">
        <v>79</v>
      </c>
      <c r="B23" s="80"/>
      <c r="C23" s="80"/>
      <c r="D23" s="81">
        <v>3082</v>
      </c>
      <c r="E23" s="81">
        <v>1784</v>
      </c>
      <c r="F23" s="81">
        <v>1318</v>
      </c>
      <c r="G23" s="81"/>
      <c r="I23" s="80" t="s">
        <v>80</v>
      </c>
    </row>
    <row r="24" spans="1:19" x14ac:dyDescent="0.25">
      <c r="A24" s="80" t="s">
        <v>80</v>
      </c>
      <c r="B24" s="80"/>
      <c r="C24" s="80"/>
      <c r="D24" s="80"/>
      <c r="E24" s="80"/>
      <c r="F24" s="80"/>
      <c r="G24" s="80"/>
      <c r="H24" s="80"/>
      <c r="I24" t="s">
        <v>81</v>
      </c>
      <c r="J24" s="34">
        <v>190</v>
      </c>
      <c r="K24" s="34">
        <v>253</v>
      </c>
      <c r="L24" s="34">
        <v>443</v>
      </c>
      <c r="M24" s="34"/>
      <c r="P24" s="34"/>
      <c r="S24" s="34"/>
    </row>
    <row r="25" spans="1:19" x14ac:dyDescent="0.25">
      <c r="A25" s="80" t="s">
        <v>81</v>
      </c>
      <c r="B25" s="80"/>
      <c r="C25" s="80"/>
      <c r="D25" s="81">
        <v>480</v>
      </c>
      <c r="E25" s="81">
        <v>819</v>
      </c>
      <c r="F25" s="81">
        <v>1279</v>
      </c>
      <c r="G25" s="81"/>
      <c r="I25" t="s">
        <v>99</v>
      </c>
      <c r="J25" t="s">
        <v>75</v>
      </c>
      <c r="K25" t="s">
        <v>75</v>
      </c>
      <c r="L25" s="87">
        <v>-30</v>
      </c>
      <c r="M25" s="87"/>
    </row>
    <row r="26" spans="1:19" x14ac:dyDescent="0.25">
      <c r="A26" s="80" t="s">
        <v>82</v>
      </c>
      <c r="B26" s="80"/>
      <c r="C26" s="80"/>
      <c r="D26" s="84">
        <v>-61</v>
      </c>
      <c r="E26" s="84">
        <v>-125</v>
      </c>
      <c r="F26" s="81">
        <v>30</v>
      </c>
      <c r="G26" s="81"/>
      <c r="I26" t="s">
        <v>83</v>
      </c>
      <c r="J26" s="87">
        <v>-255</v>
      </c>
      <c r="K26" s="87">
        <v>-343</v>
      </c>
      <c r="L26" s="87">
        <v>-412</v>
      </c>
      <c r="M26" s="87"/>
      <c r="P26" s="87"/>
      <c r="S26" s="87"/>
    </row>
    <row r="27" spans="1:19" x14ac:dyDescent="0.25">
      <c r="A27" s="80" t="s">
        <v>83</v>
      </c>
      <c r="B27" s="80"/>
      <c r="C27" s="80"/>
      <c r="D27" s="84">
        <v>-728</v>
      </c>
      <c r="E27" s="84">
        <v>-665</v>
      </c>
      <c r="F27" s="84">
        <v>-665</v>
      </c>
      <c r="G27" s="84"/>
      <c r="I27" t="s">
        <v>100</v>
      </c>
      <c r="J27" s="34">
        <v>1134</v>
      </c>
      <c r="K27" s="34">
        <v>1368</v>
      </c>
      <c r="L27" s="34">
        <v>1782</v>
      </c>
      <c r="M27" s="34"/>
      <c r="P27" s="34"/>
      <c r="S27" s="34"/>
    </row>
    <row r="28" spans="1:19" x14ac:dyDescent="0.25">
      <c r="A28" s="80" t="s">
        <v>84</v>
      </c>
      <c r="B28" s="80"/>
      <c r="C28" s="80"/>
      <c r="D28" s="81">
        <v>2773</v>
      </c>
      <c r="E28" s="81">
        <v>1813</v>
      </c>
      <c r="F28" s="81">
        <v>1962</v>
      </c>
      <c r="G28" s="81"/>
      <c r="I28" t="s">
        <v>85</v>
      </c>
      <c r="J28" s="34">
        <v>326</v>
      </c>
      <c r="K28" s="34">
        <v>474</v>
      </c>
      <c r="L28" s="34">
        <v>473</v>
      </c>
      <c r="M28" s="34"/>
      <c r="P28" s="34"/>
      <c r="S28" s="34"/>
    </row>
    <row r="29" spans="1:19" x14ac:dyDescent="0.25">
      <c r="A29" s="80" t="s">
        <v>85</v>
      </c>
      <c r="B29" s="80"/>
      <c r="C29" s="80"/>
      <c r="D29" s="81">
        <v>979</v>
      </c>
      <c r="E29" s="81">
        <v>477</v>
      </c>
      <c r="F29" s="81">
        <v>760</v>
      </c>
      <c r="G29" s="81"/>
      <c r="I29" t="s">
        <v>86</v>
      </c>
      <c r="J29" s="34">
        <v>808</v>
      </c>
      <c r="K29" s="34">
        <v>894</v>
      </c>
      <c r="L29" s="34">
        <v>1309</v>
      </c>
      <c r="M29" s="34"/>
      <c r="P29" s="34"/>
      <c r="S29" s="34"/>
    </row>
    <row r="30" spans="1:19" x14ac:dyDescent="0.25">
      <c r="I30" s="80" t="s">
        <v>87</v>
      </c>
      <c r="J30" s="34">
        <v>20</v>
      </c>
      <c r="K30" s="34">
        <v>6</v>
      </c>
      <c r="L30" s="34">
        <v>12</v>
      </c>
      <c r="M30" s="34"/>
      <c r="P30" s="34"/>
      <c r="S30" s="34"/>
    </row>
    <row r="31" spans="1:19" x14ac:dyDescent="0.25">
      <c r="I31" s="80" t="s">
        <v>88</v>
      </c>
      <c r="J31" s="86">
        <v>828</v>
      </c>
      <c r="K31" s="86">
        <v>900</v>
      </c>
      <c r="L31" s="86">
        <v>1321</v>
      </c>
      <c r="M31" s="86"/>
      <c r="P31" s="86"/>
      <c r="S31" s="86"/>
    </row>
    <row r="32" spans="1:19" x14ac:dyDescent="0.25">
      <c r="A32" s="80" t="s">
        <v>86</v>
      </c>
      <c r="B32" s="80"/>
      <c r="C32" s="80"/>
      <c r="D32" s="81">
        <v>1794</v>
      </c>
      <c r="E32" s="81">
        <v>1336</v>
      </c>
      <c r="F32" s="81">
        <v>1202</v>
      </c>
      <c r="G32" s="81"/>
    </row>
    <row r="33" spans="1:20" x14ac:dyDescent="0.25">
      <c r="A33" s="80" t="s">
        <v>87</v>
      </c>
      <c r="B33" s="80"/>
      <c r="C33" s="80"/>
      <c r="D33" s="81">
        <v>14</v>
      </c>
      <c r="E33" s="81">
        <v>11</v>
      </c>
      <c r="F33" s="80" t="s">
        <v>75</v>
      </c>
      <c r="G33" s="80"/>
      <c r="I33" s="80" t="s">
        <v>89</v>
      </c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</row>
    <row r="34" spans="1:20" x14ac:dyDescent="0.25">
      <c r="A34" s="80" t="s">
        <v>88</v>
      </c>
      <c r="B34" s="80"/>
      <c r="C34" s="80"/>
      <c r="D34" s="83">
        <v>1808</v>
      </c>
      <c r="E34" s="83">
        <v>1347</v>
      </c>
      <c r="F34" s="83">
        <v>1202</v>
      </c>
      <c r="G34" s="83"/>
      <c r="I34" t="s">
        <v>90</v>
      </c>
      <c r="J34" s="85">
        <v>2.4</v>
      </c>
      <c r="K34" s="85">
        <v>2.31</v>
      </c>
      <c r="L34" s="85">
        <v>3.19</v>
      </c>
      <c r="M34" s="85"/>
      <c r="P34" s="85"/>
      <c r="S34" s="85"/>
    </row>
    <row r="35" spans="1:20" x14ac:dyDescent="0.25">
      <c r="I35" t="s">
        <v>91</v>
      </c>
      <c r="J35" s="85">
        <v>2.34</v>
      </c>
      <c r="K35" s="85">
        <v>2.2599999999999998</v>
      </c>
      <c r="L35" s="85">
        <v>3.14</v>
      </c>
      <c r="M35" s="85"/>
      <c r="P35" s="85"/>
      <c r="S35" s="85"/>
    </row>
    <row r="37" spans="1:20" x14ac:dyDescent="0.25">
      <c r="A37" s="80" t="s">
        <v>89</v>
      </c>
      <c r="B37" s="80"/>
      <c r="C37" s="80"/>
      <c r="I37" s="80" t="s">
        <v>92</v>
      </c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</row>
    <row r="38" spans="1:20" x14ac:dyDescent="0.25">
      <c r="I38" t="s">
        <v>93</v>
      </c>
      <c r="J38" s="34">
        <v>344853</v>
      </c>
      <c r="K38" s="34">
        <v>390248</v>
      </c>
      <c r="L38" s="34">
        <v>413487</v>
      </c>
      <c r="M38" s="34"/>
      <c r="P38" s="34"/>
      <c r="S38" s="34"/>
    </row>
    <row r="39" spans="1:20" x14ac:dyDescent="0.25">
      <c r="A39" s="80" t="s">
        <v>90</v>
      </c>
      <c r="B39" s="80"/>
      <c r="C39" s="80"/>
      <c r="D39" s="82">
        <v>3.17</v>
      </c>
      <c r="E39" s="82">
        <v>2.31</v>
      </c>
      <c r="F39" s="82">
        <v>2.09</v>
      </c>
      <c r="G39" s="82"/>
      <c r="I39" t="s">
        <v>94</v>
      </c>
      <c r="J39" s="34">
        <v>353404</v>
      </c>
      <c r="K39" s="34">
        <v>398506</v>
      </c>
      <c r="L39" s="34">
        <v>420409</v>
      </c>
      <c r="M39" s="34"/>
      <c r="P39" s="34"/>
      <c r="S39" s="34"/>
    </row>
    <row r="41" spans="1:20" x14ac:dyDescent="0.25">
      <c r="A41" s="80" t="s">
        <v>91</v>
      </c>
      <c r="B41" s="80"/>
      <c r="C41" s="80"/>
      <c r="D41" s="82">
        <v>3.12</v>
      </c>
      <c r="E41" s="82">
        <v>2.2799999999999998</v>
      </c>
      <c r="F41" s="82">
        <v>2.0699999999999998</v>
      </c>
      <c r="G41" s="82"/>
      <c r="L41" s="82"/>
      <c r="Q41" s="82"/>
    </row>
    <row r="43" spans="1:20" x14ac:dyDescent="0.25">
      <c r="A43" s="80" t="s">
        <v>92</v>
      </c>
      <c r="B43" s="80"/>
      <c r="C43" s="80"/>
    </row>
    <row r="44" spans="1:20" x14ac:dyDescent="0.25">
      <c r="A44" s="80" t="s">
        <v>93</v>
      </c>
      <c r="B44" s="80"/>
      <c r="C44" s="80"/>
      <c r="D44" s="81">
        <v>570722</v>
      </c>
      <c r="E44" s="81">
        <v>582832</v>
      </c>
      <c r="F44" s="81">
        <v>575191</v>
      </c>
      <c r="G44" s="81"/>
      <c r="L44" s="81"/>
      <c r="Q44" s="81"/>
    </row>
    <row r="45" spans="1:20" x14ac:dyDescent="0.25">
      <c r="A45" s="80" t="s">
        <v>94</v>
      </c>
      <c r="B45" s="80"/>
      <c r="C45" s="80"/>
      <c r="D45" s="81">
        <v>579135</v>
      </c>
      <c r="E45" s="81">
        <v>590516</v>
      </c>
      <c r="F45" s="81">
        <v>582040</v>
      </c>
      <c r="G45" s="81"/>
      <c r="L45" s="81"/>
      <c r="Q45" s="81"/>
    </row>
  </sheetData>
  <sortState xmlns:xlrd2="http://schemas.microsoft.com/office/spreadsheetml/2017/richdata2" columnSort="1" ref="J6:R39">
    <sortCondition ref="J6:R6"/>
  </sortState>
  <mergeCells count="3">
    <mergeCell ref="I3:T3"/>
    <mergeCell ref="J5:T5"/>
    <mergeCell ref="I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CA1F0-E227-48D7-9264-3A00D15EDB3C}">
  <dimension ref="A1:X59"/>
  <sheetViews>
    <sheetView topLeftCell="A10" workbookViewId="0">
      <selection activeCell="A26" sqref="A26"/>
    </sheetView>
  </sheetViews>
  <sheetFormatPr defaultRowHeight="15" x14ac:dyDescent="0.25"/>
  <cols>
    <col min="1" max="1" width="51.140625" customWidth="1"/>
  </cols>
  <sheetData>
    <row r="1" spans="1:24" x14ac:dyDescent="0.25">
      <c r="A1" s="91" t="s">
        <v>101</v>
      </c>
      <c r="B1" s="91"/>
      <c r="C1" s="91"/>
      <c r="D1" s="91"/>
      <c r="E1" s="91"/>
      <c r="G1" s="91" t="s">
        <v>101</v>
      </c>
      <c r="H1" s="91"/>
      <c r="I1" s="91"/>
      <c r="J1" s="91"/>
      <c r="K1" s="91"/>
      <c r="L1" s="91"/>
    </row>
    <row r="3" spans="1:24" x14ac:dyDescent="0.25">
      <c r="A3" s="92"/>
      <c r="B3" s="92"/>
      <c r="C3" s="92"/>
      <c r="D3" s="92"/>
      <c r="E3" s="92"/>
    </row>
    <row r="4" spans="1:24" x14ac:dyDescent="0.25">
      <c r="G4" s="91"/>
      <c r="H4" s="91"/>
      <c r="I4" s="91"/>
      <c r="J4" s="91" t="s">
        <v>57</v>
      </c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</row>
    <row r="5" spans="1:24" x14ac:dyDescent="0.25">
      <c r="B5" s="90" t="s">
        <v>57</v>
      </c>
      <c r="C5" s="90"/>
      <c r="D5" s="90"/>
      <c r="E5" s="90"/>
      <c r="G5" s="80"/>
      <c r="H5" s="80"/>
      <c r="I5" s="80"/>
      <c r="J5" s="80" t="s">
        <v>60</v>
      </c>
      <c r="K5" s="80" t="s">
        <v>59</v>
      </c>
      <c r="L5" s="80" t="s">
        <v>58</v>
      </c>
      <c r="M5" s="80"/>
      <c r="N5" s="80"/>
      <c r="R5" s="80"/>
      <c r="S5" s="80"/>
      <c r="W5" s="80"/>
      <c r="X5" s="80"/>
    </row>
    <row r="6" spans="1:24" x14ac:dyDescent="0.25">
      <c r="B6" s="80" t="s">
        <v>97</v>
      </c>
      <c r="C6" s="80" t="s">
        <v>96</v>
      </c>
      <c r="D6" s="80" t="s">
        <v>95</v>
      </c>
      <c r="E6" s="80"/>
      <c r="G6" s="80" t="s">
        <v>102</v>
      </c>
      <c r="H6" s="80"/>
      <c r="I6" s="80"/>
      <c r="K6" s="80"/>
      <c r="L6" s="80"/>
      <c r="M6" s="80"/>
      <c r="N6" s="80"/>
      <c r="R6" s="80"/>
      <c r="S6" s="80"/>
    </row>
    <row r="7" spans="1:24" x14ac:dyDescent="0.25">
      <c r="A7" s="80" t="s">
        <v>102</v>
      </c>
      <c r="G7" s="80" t="s">
        <v>86</v>
      </c>
      <c r="H7" s="80"/>
      <c r="I7" s="80"/>
      <c r="J7" s="83">
        <v>1794</v>
      </c>
      <c r="K7" s="83">
        <v>1336</v>
      </c>
      <c r="L7" s="83">
        <v>1202</v>
      </c>
      <c r="M7" s="83"/>
      <c r="R7" s="83"/>
      <c r="W7" s="83"/>
    </row>
    <row r="8" spans="1:24" x14ac:dyDescent="0.25">
      <c r="A8" t="s">
        <v>86</v>
      </c>
      <c r="B8" s="86">
        <v>808</v>
      </c>
      <c r="C8" s="86">
        <v>894</v>
      </c>
      <c r="D8" s="86">
        <v>1309</v>
      </c>
      <c r="E8" s="86"/>
      <c r="G8" s="80" t="s">
        <v>103</v>
      </c>
      <c r="H8" s="80"/>
      <c r="I8" s="80"/>
      <c r="J8" s="80"/>
      <c r="K8" s="80"/>
      <c r="L8" s="80"/>
      <c r="M8" s="80"/>
      <c r="N8" s="80"/>
      <c r="R8" s="80"/>
      <c r="S8" s="80"/>
      <c r="W8" s="80"/>
      <c r="X8" s="80"/>
    </row>
    <row r="9" spans="1:24" x14ac:dyDescent="0.25">
      <c r="A9" t="s">
        <v>103</v>
      </c>
      <c r="G9" s="80" t="s">
        <v>104</v>
      </c>
      <c r="H9" s="80"/>
      <c r="I9" s="80"/>
      <c r="J9" s="81">
        <v>1259</v>
      </c>
      <c r="K9" s="81">
        <v>1476</v>
      </c>
      <c r="L9" s="81">
        <v>1553</v>
      </c>
      <c r="M9" s="81"/>
      <c r="R9" s="81"/>
      <c r="W9" s="81"/>
    </row>
    <row r="10" spans="1:24" x14ac:dyDescent="0.25">
      <c r="A10" t="s">
        <v>104</v>
      </c>
      <c r="B10" s="34">
        <v>361</v>
      </c>
      <c r="C10" s="34">
        <v>495</v>
      </c>
      <c r="D10" s="34">
        <v>643</v>
      </c>
      <c r="E10" s="34"/>
      <c r="G10" s="80" t="s">
        <v>105</v>
      </c>
      <c r="H10" s="80"/>
      <c r="I10" s="80"/>
      <c r="J10" s="81">
        <v>281</v>
      </c>
      <c r="K10" s="81">
        <v>203</v>
      </c>
      <c r="L10" s="81">
        <v>234</v>
      </c>
      <c r="M10" s="81"/>
      <c r="R10" s="81"/>
      <c r="W10" s="81"/>
    </row>
    <row r="11" spans="1:24" x14ac:dyDescent="0.25">
      <c r="A11" t="s">
        <v>105</v>
      </c>
      <c r="B11" s="34">
        <v>135</v>
      </c>
      <c r="C11" s="34">
        <v>145</v>
      </c>
      <c r="D11" s="34">
        <v>177</v>
      </c>
      <c r="E11" s="34"/>
      <c r="G11" s="80" t="s">
        <v>76</v>
      </c>
      <c r="H11" s="80"/>
      <c r="I11" s="80"/>
      <c r="J11" s="81">
        <v>72</v>
      </c>
      <c r="K11" s="81">
        <v>229</v>
      </c>
      <c r="L11" s="81">
        <v>2318</v>
      </c>
      <c r="M11" s="81"/>
      <c r="R11" s="81"/>
      <c r="W11" s="81"/>
    </row>
    <row r="12" spans="1:24" x14ac:dyDescent="0.25">
      <c r="A12" t="s">
        <v>106</v>
      </c>
      <c r="B12" t="s">
        <v>75</v>
      </c>
      <c r="C12" t="s">
        <v>75</v>
      </c>
      <c r="D12" s="34">
        <v>271</v>
      </c>
      <c r="E12" s="34"/>
      <c r="G12" s="80" t="s">
        <v>145</v>
      </c>
      <c r="H12" s="80"/>
      <c r="I12" s="80"/>
      <c r="J12" s="81">
        <v>57</v>
      </c>
      <c r="K12" s="81">
        <v>125</v>
      </c>
      <c r="L12" s="84">
        <v>-25</v>
      </c>
      <c r="M12" s="84"/>
      <c r="R12" s="81"/>
      <c r="W12" s="81"/>
    </row>
    <row r="13" spans="1:24" x14ac:dyDescent="0.25">
      <c r="A13" t="s">
        <v>107</v>
      </c>
      <c r="B13" t="s">
        <v>75</v>
      </c>
      <c r="C13" t="s">
        <v>75</v>
      </c>
      <c r="D13" s="34">
        <v>30</v>
      </c>
      <c r="E13" s="34"/>
      <c r="G13" s="80" t="s">
        <v>146</v>
      </c>
      <c r="H13" s="80"/>
      <c r="I13" s="80"/>
      <c r="J13" s="80" t="s">
        <v>75</v>
      </c>
      <c r="K13" s="84">
        <v>-309</v>
      </c>
      <c r="L13" s="84">
        <v>-2</v>
      </c>
      <c r="M13" s="84"/>
      <c r="R13" s="84"/>
      <c r="W13" s="80"/>
    </row>
    <row r="14" spans="1:24" x14ac:dyDescent="0.25">
      <c r="A14" t="s">
        <v>108</v>
      </c>
      <c r="B14" s="87">
        <v>-108</v>
      </c>
      <c r="C14" s="87">
        <v>-129</v>
      </c>
      <c r="D14" s="34">
        <v>55</v>
      </c>
      <c r="E14" s="34"/>
      <c r="G14" s="80" t="s">
        <v>108</v>
      </c>
      <c r="H14" s="80"/>
      <c r="I14" s="80"/>
      <c r="J14" s="84">
        <v>-51</v>
      </c>
      <c r="K14" s="84">
        <v>-132</v>
      </c>
      <c r="L14" s="84">
        <v>-631</v>
      </c>
      <c r="M14" s="84"/>
      <c r="R14" s="84"/>
      <c r="W14" s="84"/>
    </row>
    <row r="15" spans="1:24" x14ac:dyDescent="0.25">
      <c r="A15" t="s">
        <v>109</v>
      </c>
      <c r="G15" s="80" t="s">
        <v>147</v>
      </c>
      <c r="H15" s="80"/>
      <c r="I15" s="80"/>
      <c r="J15" s="84">
        <v>-104</v>
      </c>
      <c r="K15" s="84">
        <v>-88</v>
      </c>
      <c r="L15" s="84">
        <v>-772</v>
      </c>
      <c r="M15" s="84"/>
      <c r="R15" s="84"/>
      <c r="W15" s="84"/>
    </row>
    <row r="16" spans="1:24" x14ac:dyDescent="0.25">
      <c r="A16" t="s">
        <v>110</v>
      </c>
      <c r="B16" s="87">
        <v>-50</v>
      </c>
      <c r="C16" s="87">
        <v>-1173</v>
      </c>
      <c r="D16" s="87">
        <v>-1076</v>
      </c>
      <c r="E16" s="87"/>
      <c r="G16" s="80" t="s">
        <v>148</v>
      </c>
      <c r="H16" s="80"/>
      <c r="I16" s="80"/>
      <c r="J16" s="81">
        <v>5</v>
      </c>
      <c r="K16" s="81">
        <v>12</v>
      </c>
      <c r="L16" s="81">
        <v>221</v>
      </c>
      <c r="M16" s="81"/>
      <c r="R16" s="81"/>
      <c r="W16" s="81"/>
    </row>
    <row r="17" spans="1:24" x14ac:dyDescent="0.25">
      <c r="A17" t="s">
        <v>111</v>
      </c>
      <c r="B17" s="87">
        <v>-146</v>
      </c>
      <c r="C17" s="87">
        <v>-38</v>
      </c>
      <c r="D17" s="87">
        <v>-234</v>
      </c>
      <c r="E17" s="87"/>
      <c r="G17" s="80" t="s">
        <v>149</v>
      </c>
      <c r="H17" s="80"/>
      <c r="I17" s="80"/>
      <c r="J17" s="84">
        <v>-5</v>
      </c>
      <c r="K17" s="84">
        <v>-23</v>
      </c>
      <c r="L17" s="84">
        <v>-31</v>
      </c>
      <c r="M17" s="84"/>
      <c r="R17" s="84"/>
      <c r="W17" s="84"/>
    </row>
    <row r="18" spans="1:24" x14ac:dyDescent="0.25">
      <c r="A18" t="s">
        <v>112</v>
      </c>
      <c r="B18" s="34">
        <v>359</v>
      </c>
      <c r="C18" s="34">
        <v>1325</v>
      </c>
      <c r="D18" s="34">
        <v>578</v>
      </c>
      <c r="E18" s="34"/>
      <c r="G18" s="80" t="s">
        <v>109</v>
      </c>
      <c r="H18" s="80"/>
      <c r="I18" s="80"/>
      <c r="J18" s="80"/>
      <c r="K18" s="80"/>
      <c r="L18" s="80"/>
      <c r="M18" s="80"/>
      <c r="N18" s="80"/>
      <c r="R18" s="80"/>
      <c r="S18" s="80"/>
      <c r="W18" s="80"/>
      <c r="X18" s="80"/>
    </row>
    <row r="19" spans="1:24" x14ac:dyDescent="0.25">
      <c r="A19" t="s">
        <v>113</v>
      </c>
      <c r="B19" s="34">
        <v>19</v>
      </c>
      <c r="C19" s="87">
        <v>-52</v>
      </c>
      <c r="D19" s="87">
        <v>-9</v>
      </c>
      <c r="E19" s="87"/>
      <c r="G19" s="80" t="s">
        <v>110</v>
      </c>
      <c r="H19" s="80"/>
      <c r="I19" s="80"/>
      <c r="J19" s="84">
        <v>-52</v>
      </c>
      <c r="K19" s="84">
        <v>-2453</v>
      </c>
      <c r="L19" s="84">
        <v>-1627</v>
      </c>
      <c r="M19" s="84"/>
      <c r="R19" s="84"/>
      <c r="W19" s="84"/>
    </row>
    <row r="20" spans="1:24" x14ac:dyDescent="0.25">
      <c r="A20" t="s">
        <v>114</v>
      </c>
      <c r="B20" s="34">
        <v>53</v>
      </c>
      <c r="C20" s="87">
        <v>-533</v>
      </c>
      <c r="D20" s="87">
        <v>-421</v>
      </c>
      <c r="E20" s="87"/>
      <c r="G20" s="80" t="s">
        <v>111</v>
      </c>
      <c r="H20" s="80"/>
      <c r="I20" s="80"/>
      <c r="J20" s="84">
        <v>-30</v>
      </c>
      <c r="K20" s="84">
        <v>-99</v>
      </c>
      <c r="L20" s="81">
        <v>128</v>
      </c>
      <c r="M20" s="81"/>
      <c r="R20" s="84"/>
      <c r="W20" s="84"/>
    </row>
    <row r="21" spans="1:24" x14ac:dyDescent="0.25">
      <c r="A21" t="s">
        <v>115</v>
      </c>
      <c r="B21" s="34">
        <v>68</v>
      </c>
      <c r="C21" s="34">
        <v>258</v>
      </c>
      <c r="D21" s="34">
        <v>185</v>
      </c>
      <c r="E21" s="34"/>
      <c r="G21" s="80" t="s">
        <v>112</v>
      </c>
      <c r="H21" s="80"/>
      <c r="I21" s="80"/>
      <c r="J21" s="81">
        <v>1117</v>
      </c>
      <c r="K21" s="81">
        <v>1802</v>
      </c>
      <c r="L21" s="81">
        <v>2397</v>
      </c>
      <c r="M21" s="81"/>
      <c r="R21" s="81"/>
      <c r="W21" s="81"/>
    </row>
    <row r="22" spans="1:24" x14ac:dyDescent="0.25">
      <c r="A22" t="s">
        <v>116</v>
      </c>
      <c r="B22" s="87">
        <v>-10</v>
      </c>
      <c r="C22" s="34">
        <v>42</v>
      </c>
      <c r="D22" s="87">
        <v>-25</v>
      </c>
      <c r="E22" s="87"/>
      <c r="G22" s="80" t="s">
        <v>113</v>
      </c>
      <c r="H22" s="80"/>
      <c r="I22" s="80"/>
      <c r="J22" s="84">
        <v>-528</v>
      </c>
      <c r="K22" s="84">
        <v>-109</v>
      </c>
      <c r="L22" s="81">
        <v>31</v>
      </c>
      <c r="M22" s="81"/>
      <c r="R22" s="84"/>
      <c r="W22" s="84"/>
    </row>
    <row r="23" spans="1:24" x14ac:dyDescent="0.25">
      <c r="A23" t="s">
        <v>117</v>
      </c>
      <c r="B23" s="34">
        <v>1489</v>
      </c>
      <c r="C23" s="34">
        <v>1234</v>
      </c>
      <c r="D23" s="34">
        <v>1483</v>
      </c>
      <c r="E23" s="34"/>
      <c r="G23" s="80" t="s">
        <v>114</v>
      </c>
      <c r="H23" s="80"/>
      <c r="I23" s="80"/>
      <c r="J23" s="81">
        <v>585</v>
      </c>
      <c r="K23" s="81">
        <v>1141</v>
      </c>
      <c r="L23" s="81">
        <v>421</v>
      </c>
      <c r="M23" s="81"/>
      <c r="R23" s="81"/>
      <c r="W23" s="81"/>
    </row>
    <row r="24" spans="1:24" x14ac:dyDescent="0.25">
      <c r="A24" s="80" t="s">
        <v>118</v>
      </c>
      <c r="G24" s="80" t="s">
        <v>115</v>
      </c>
      <c r="H24" s="80"/>
      <c r="I24" s="80"/>
      <c r="J24" s="81">
        <v>1078</v>
      </c>
      <c r="K24" s="81">
        <v>1093</v>
      </c>
      <c r="L24" s="81">
        <v>842</v>
      </c>
      <c r="M24" s="81"/>
      <c r="R24" s="81"/>
      <c r="W24" s="81"/>
    </row>
    <row r="25" spans="1:24" x14ac:dyDescent="0.25">
      <c r="A25" t="s">
        <v>119</v>
      </c>
      <c r="B25" s="87">
        <v>-422</v>
      </c>
      <c r="C25" s="87">
        <v>-675</v>
      </c>
      <c r="D25" s="87">
        <v>-730</v>
      </c>
      <c r="E25" s="87"/>
      <c r="G25" s="80" t="s">
        <v>116</v>
      </c>
      <c r="H25" s="80"/>
      <c r="I25" s="80"/>
      <c r="J25" s="81">
        <v>25</v>
      </c>
      <c r="K25" s="81">
        <v>1</v>
      </c>
      <c r="L25" s="81">
        <v>2</v>
      </c>
      <c r="M25" s="81"/>
      <c r="R25" s="81"/>
      <c r="W25" s="81"/>
    </row>
    <row r="26" spans="1:24" x14ac:dyDescent="0.25">
      <c r="A26" t="s">
        <v>120</v>
      </c>
      <c r="B26" s="87">
        <v>-2656</v>
      </c>
      <c r="C26" s="87">
        <v>-3846</v>
      </c>
      <c r="D26" s="87">
        <v>-2575</v>
      </c>
      <c r="E26" s="87"/>
      <c r="G26" s="80" t="s">
        <v>117</v>
      </c>
      <c r="H26" s="80"/>
      <c r="I26" s="80"/>
      <c r="J26" s="81">
        <v>5503</v>
      </c>
      <c r="K26" s="81">
        <v>4205</v>
      </c>
      <c r="L26" s="81">
        <v>6261</v>
      </c>
      <c r="M26" s="81"/>
      <c r="R26" s="81"/>
      <c r="W26" s="81"/>
    </row>
    <row r="27" spans="1:24" x14ac:dyDescent="0.25">
      <c r="A27" t="s">
        <v>121</v>
      </c>
      <c r="B27" s="34">
        <v>1862</v>
      </c>
      <c r="C27" s="34">
        <v>1991</v>
      </c>
      <c r="D27" s="34">
        <v>1809</v>
      </c>
      <c r="E27" s="34"/>
      <c r="G27" s="80" t="s">
        <v>118</v>
      </c>
      <c r="H27" s="80"/>
      <c r="I27" s="80"/>
      <c r="J27" s="80"/>
      <c r="K27" s="80"/>
      <c r="L27" s="80"/>
      <c r="M27" s="80"/>
      <c r="N27" s="80"/>
      <c r="R27" s="80"/>
      <c r="S27" s="80"/>
      <c r="W27" s="80"/>
      <c r="X27" s="80"/>
    </row>
    <row r="28" spans="1:24" x14ac:dyDescent="0.25">
      <c r="A28" t="s">
        <v>122</v>
      </c>
      <c r="B28" s="87">
        <v>-50</v>
      </c>
      <c r="C28" s="87">
        <v>-2055</v>
      </c>
      <c r="D28" s="87">
        <v>-36</v>
      </c>
      <c r="E28" s="87"/>
      <c r="G28" s="80" t="s">
        <v>119</v>
      </c>
      <c r="H28" s="80"/>
      <c r="I28" s="80"/>
      <c r="J28" s="84">
        <v>-869</v>
      </c>
      <c r="K28" s="84">
        <v>-910</v>
      </c>
      <c r="L28" s="84">
        <v>-1004</v>
      </c>
      <c r="M28" s="84"/>
      <c r="R28" s="84"/>
      <c r="W28" s="84"/>
    </row>
    <row r="29" spans="1:24" x14ac:dyDescent="0.25">
      <c r="A29" t="s">
        <v>123</v>
      </c>
      <c r="B29" s="34">
        <v>12</v>
      </c>
      <c r="C29" t="s">
        <v>75</v>
      </c>
      <c r="D29" t="s">
        <v>75</v>
      </c>
      <c r="G29" s="80" t="s">
        <v>120</v>
      </c>
      <c r="H29" s="80"/>
      <c r="I29" s="80"/>
      <c r="J29" s="84">
        <v>-7402</v>
      </c>
      <c r="K29" s="84">
        <v>-7400</v>
      </c>
      <c r="L29" s="84">
        <v>-6736</v>
      </c>
      <c r="M29" s="84"/>
      <c r="R29" s="84"/>
      <c r="W29" s="84"/>
    </row>
    <row r="30" spans="1:24" x14ac:dyDescent="0.25">
      <c r="A30" t="s">
        <v>124</v>
      </c>
      <c r="B30" s="87">
        <v>-1254</v>
      </c>
      <c r="C30" s="87">
        <v>-4585</v>
      </c>
      <c r="D30" s="87">
        <v>-1532</v>
      </c>
      <c r="E30" s="87"/>
      <c r="G30" s="80" t="s">
        <v>121</v>
      </c>
      <c r="H30" s="80"/>
      <c r="I30" s="80"/>
      <c r="J30" s="81">
        <v>4921</v>
      </c>
      <c r="K30" s="81">
        <v>5458</v>
      </c>
      <c r="L30" s="81">
        <v>3802</v>
      </c>
      <c r="M30" s="81"/>
      <c r="R30" s="81"/>
      <c r="W30" s="81"/>
    </row>
    <row r="31" spans="1:24" x14ac:dyDescent="0.25">
      <c r="A31" s="80" t="s">
        <v>125</v>
      </c>
      <c r="G31" s="80" t="s">
        <v>122</v>
      </c>
      <c r="H31" s="80"/>
      <c r="I31" s="80"/>
      <c r="J31" s="84">
        <v>-4049</v>
      </c>
      <c r="K31" s="84">
        <v>-534</v>
      </c>
      <c r="L31" s="84">
        <v>-1460</v>
      </c>
      <c r="M31" s="84"/>
      <c r="R31" s="84"/>
      <c r="W31" s="84"/>
    </row>
    <row r="32" spans="1:24" x14ac:dyDescent="0.25">
      <c r="A32" t="s">
        <v>126</v>
      </c>
      <c r="B32" t="s">
        <v>75</v>
      </c>
      <c r="C32" s="34">
        <v>2779</v>
      </c>
      <c r="D32" t="s">
        <v>75</v>
      </c>
      <c r="G32" s="80" t="s">
        <v>150</v>
      </c>
      <c r="H32" s="80"/>
      <c r="I32" s="80"/>
      <c r="J32" s="81">
        <v>466</v>
      </c>
      <c r="K32" s="81">
        <v>68</v>
      </c>
      <c r="L32" s="81">
        <v>2477</v>
      </c>
      <c r="M32" s="81"/>
      <c r="R32" s="81"/>
      <c r="W32" s="81"/>
    </row>
    <row r="33" spans="1:24" x14ac:dyDescent="0.25">
      <c r="A33" t="s">
        <v>127</v>
      </c>
      <c r="B33" s="34">
        <v>1400</v>
      </c>
      <c r="C33" s="34">
        <v>6077</v>
      </c>
      <c r="D33" s="34">
        <v>24721</v>
      </c>
      <c r="E33" s="34"/>
    </row>
    <row r="34" spans="1:24" x14ac:dyDescent="0.25">
      <c r="A34" t="s">
        <v>128</v>
      </c>
      <c r="B34" s="87">
        <v>-1353</v>
      </c>
      <c r="C34" s="87">
        <v>-4083</v>
      </c>
      <c r="D34" s="87">
        <v>-17803</v>
      </c>
      <c r="E34" s="87"/>
      <c r="G34" s="80" t="s">
        <v>123</v>
      </c>
      <c r="H34" s="80"/>
      <c r="I34" s="80"/>
      <c r="J34" s="84">
        <v>-22</v>
      </c>
      <c r="K34" s="81">
        <v>19</v>
      </c>
      <c r="L34" s="80" t="s">
        <v>75</v>
      </c>
      <c r="M34" s="80"/>
      <c r="R34" s="81"/>
      <c r="W34" s="84"/>
    </row>
    <row r="35" spans="1:24" x14ac:dyDescent="0.25">
      <c r="A35" t="s">
        <v>129</v>
      </c>
      <c r="B35" s="87">
        <v>-65</v>
      </c>
      <c r="C35" s="87">
        <v>-71</v>
      </c>
      <c r="D35" s="87">
        <v>-75</v>
      </c>
      <c r="E35" s="87"/>
      <c r="G35" s="80" t="s">
        <v>151</v>
      </c>
      <c r="H35" s="80"/>
      <c r="I35" s="80"/>
      <c r="J35" s="84">
        <v>-6955</v>
      </c>
      <c r="K35" s="84">
        <v>-3299</v>
      </c>
      <c r="L35" s="84">
        <v>-2921</v>
      </c>
      <c r="M35" s="84"/>
      <c r="R35" s="84"/>
      <c r="W35" s="84"/>
    </row>
    <row r="36" spans="1:24" x14ac:dyDescent="0.25">
      <c r="A36" t="s">
        <v>130</v>
      </c>
      <c r="B36" s="87">
        <v>-66</v>
      </c>
      <c r="C36" s="87">
        <v>-74</v>
      </c>
      <c r="D36" t="s">
        <v>75</v>
      </c>
      <c r="G36" s="80" t="s">
        <v>125</v>
      </c>
      <c r="H36" s="80"/>
      <c r="I36" s="80"/>
      <c r="J36" s="80"/>
      <c r="K36" s="80"/>
      <c r="L36" s="80"/>
      <c r="M36" s="80"/>
      <c r="N36" s="80"/>
      <c r="R36" s="80"/>
      <c r="S36" s="80"/>
      <c r="W36" s="80"/>
      <c r="X36" s="80"/>
    </row>
    <row r="37" spans="1:24" x14ac:dyDescent="0.25">
      <c r="A37" t="s">
        <v>131</v>
      </c>
      <c r="B37" t="s">
        <v>75</v>
      </c>
      <c r="C37" t="s">
        <v>75</v>
      </c>
      <c r="D37" s="34">
        <v>21</v>
      </c>
      <c r="E37" s="34"/>
      <c r="G37" s="80" t="s">
        <v>127</v>
      </c>
      <c r="H37" s="80"/>
      <c r="I37" s="80"/>
      <c r="J37" s="81">
        <v>5107</v>
      </c>
      <c r="K37" s="81">
        <v>9267</v>
      </c>
      <c r="L37" s="81">
        <v>360</v>
      </c>
      <c r="M37" s="81"/>
      <c r="R37" s="81"/>
      <c r="W37" s="81"/>
    </row>
    <row r="38" spans="1:24" x14ac:dyDescent="0.25">
      <c r="A38" t="s">
        <v>132</v>
      </c>
      <c r="B38" t="s">
        <v>75</v>
      </c>
      <c r="C38" t="s">
        <v>75</v>
      </c>
      <c r="D38" s="87">
        <v>-23</v>
      </c>
      <c r="E38" s="87"/>
      <c r="G38" s="80" t="s">
        <v>152</v>
      </c>
      <c r="H38" s="80"/>
      <c r="I38" s="80"/>
      <c r="J38" s="84">
        <v>-4067</v>
      </c>
      <c r="K38" s="84">
        <v>-7434</v>
      </c>
      <c r="L38" s="84">
        <v>-1490</v>
      </c>
      <c r="M38" s="84"/>
      <c r="R38" s="84"/>
      <c r="W38" s="84"/>
    </row>
    <row r="39" spans="1:24" x14ac:dyDescent="0.25">
      <c r="A39" t="s">
        <v>133</v>
      </c>
      <c r="B39" s="87">
        <v>-3</v>
      </c>
      <c r="C39" s="87">
        <v>-25</v>
      </c>
      <c r="D39" s="87">
        <v>-25</v>
      </c>
      <c r="E39" s="87"/>
      <c r="G39" s="80" t="s">
        <v>129</v>
      </c>
      <c r="H39" s="80"/>
      <c r="I39" s="80"/>
      <c r="J39" s="84">
        <v>-626</v>
      </c>
      <c r="K39" s="84">
        <v>-297</v>
      </c>
      <c r="L39" s="84">
        <v>-3096</v>
      </c>
      <c r="M39" s="84"/>
      <c r="R39" s="84"/>
      <c r="W39" s="84"/>
    </row>
    <row r="40" spans="1:24" x14ac:dyDescent="0.25">
      <c r="A40" t="s">
        <v>134</v>
      </c>
      <c r="B40" s="34">
        <v>5</v>
      </c>
      <c r="C40" s="34">
        <v>9</v>
      </c>
      <c r="D40" s="34">
        <v>16</v>
      </c>
      <c r="E40" s="34"/>
    </row>
    <row r="41" spans="1:24" x14ac:dyDescent="0.25">
      <c r="A41" t="s">
        <v>135</v>
      </c>
      <c r="B41" s="87">
        <v>-82</v>
      </c>
      <c r="C41" s="34">
        <v>4612</v>
      </c>
      <c r="D41" s="34">
        <v>6832</v>
      </c>
      <c r="E41" s="34"/>
      <c r="G41" s="80" t="s">
        <v>153</v>
      </c>
      <c r="H41" s="80"/>
      <c r="I41" s="80"/>
      <c r="J41" s="81">
        <v>28</v>
      </c>
      <c r="K41" s="81">
        <v>35</v>
      </c>
      <c r="L41" s="81">
        <v>70</v>
      </c>
      <c r="M41" s="81"/>
      <c r="R41" s="81"/>
      <c r="W41" s="81"/>
    </row>
    <row r="42" spans="1:24" x14ac:dyDescent="0.25">
      <c r="A42" t="s">
        <v>136</v>
      </c>
      <c r="B42" t="s">
        <v>75</v>
      </c>
      <c r="C42" t="s">
        <v>75</v>
      </c>
      <c r="D42" s="87">
        <v>-2</v>
      </c>
      <c r="E42" s="87"/>
      <c r="G42" s="80" t="s">
        <v>132</v>
      </c>
      <c r="H42" s="80"/>
      <c r="I42" s="80"/>
      <c r="J42" s="84">
        <v>-81</v>
      </c>
      <c r="K42" s="84">
        <v>-157</v>
      </c>
      <c r="L42" s="84">
        <v>-14</v>
      </c>
      <c r="M42" s="84"/>
      <c r="R42" s="84"/>
      <c r="W42" s="84"/>
    </row>
    <row r="43" spans="1:24" x14ac:dyDescent="0.25">
      <c r="A43" t="s">
        <v>137</v>
      </c>
      <c r="B43" s="34">
        <v>153</v>
      </c>
      <c r="C43" s="34">
        <v>1261</v>
      </c>
      <c r="D43" s="34">
        <v>6781</v>
      </c>
      <c r="E43" s="34"/>
      <c r="G43" s="80" t="s">
        <v>133</v>
      </c>
      <c r="H43" s="80"/>
      <c r="I43" s="80"/>
      <c r="J43" s="84">
        <v>-120</v>
      </c>
      <c r="K43" s="84">
        <v>-72</v>
      </c>
      <c r="L43" s="80" t="s">
        <v>75</v>
      </c>
      <c r="M43" s="80"/>
      <c r="R43" s="84"/>
      <c r="W43" s="84"/>
    </row>
    <row r="44" spans="1:24" x14ac:dyDescent="0.25">
      <c r="A44" s="80" t="s">
        <v>138</v>
      </c>
      <c r="B44" s="34">
        <v>3936</v>
      </c>
      <c r="C44" s="34">
        <v>4089</v>
      </c>
      <c r="D44" s="34">
        <v>5350</v>
      </c>
      <c r="E44" s="34"/>
      <c r="G44" s="80" t="s">
        <v>134</v>
      </c>
      <c r="H44" s="80"/>
      <c r="I44" s="80"/>
      <c r="J44" s="81">
        <v>19</v>
      </c>
      <c r="K44" s="81">
        <v>20</v>
      </c>
      <c r="L44" s="84">
        <v>-27</v>
      </c>
      <c r="M44" s="84"/>
      <c r="R44" s="81"/>
      <c r="W44" s="81"/>
    </row>
    <row r="45" spans="1:24" x14ac:dyDescent="0.25">
      <c r="A45" s="80" t="s">
        <v>139</v>
      </c>
      <c r="B45" s="86">
        <v>4089</v>
      </c>
      <c r="C45" s="86">
        <v>5350</v>
      </c>
      <c r="D45" s="86">
        <v>12131</v>
      </c>
      <c r="E45" s="86"/>
      <c r="G45" s="80" t="s">
        <v>154</v>
      </c>
      <c r="H45" s="80"/>
      <c r="I45" s="80"/>
      <c r="J45" s="81">
        <v>260</v>
      </c>
      <c r="K45" s="81">
        <v>1362</v>
      </c>
      <c r="L45" s="84">
        <v>-4197</v>
      </c>
      <c r="M45" s="84"/>
      <c r="R45" s="81"/>
      <c r="W45" s="81"/>
    </row>
    <row r="46" spans="1:24" x14ac:dyDescent="0.25">
      <c r="A46" t="s">
        <v>140</v>
      </c>
      <c r="G46" s="80" t="s">
        <v>136</v>
      </c>
      <c r="H46" s="80"/>
      <c r="I46" s="80"/>
      <c r="J46" s="81">
        <v>18</v>
      </c>
      <c r="K46" s="84">
        <v>-11</v>
      </c>
      <c r="L46" s="84">
        <v>-11</v>
      </c>
      <c r="M46" s="84"/>
      <c r="R46" s="84"/>
      <c r="W46" s="81"/>
    </row>
    <row r="47" spans="1:24" x14ac:dyDescent="0.25">
      <c r="A47" t="s">
        <v>141</v>
      </c>
      <c r="B47" s="86">
        <v>237</v>
      </c>
      <c r="C47" s="86">
        <v>323</v>
      </c>
      <c r="D47" s="86">
        <v>374</v>
      </c>
      <c r="E47" s="86"/>
      <c r="G47" s="80" t="s">
        <v>155</v>
      </c>
      <c r="H47" s="80"/>
      <c r="I47" s="80"/>
      <c r="J47" s="84">
        <v>-1174</v>
      </c>
      <c r="K47" s="81">
        <v>2257</v>
      </c>
      <c r="L47" s="84">
        <v>-868</v>
      </c>
      <c r="M47" s="84"/>
      <c r="R47" s="81"/>
      <c r="W47" s="84"/>
    </row>
    <row r="48" spans="1:24" x14ac:dyDescent="0.25">
      <c r="A48" t="s">
        <v>142</v>
      </c>
      <c r="B48" s="86">
        <v>496</v>
      </c>
      <c r="C48" s="86">
        <v>448</v>
      </c>
      <c r="D48" s="86">
        <v>612</v>
      </c>
      <c r="E48" s="86"/>
      <c r="G48" s="80" t="s">
        <v>156</v>
      </c>
      <c r="H48" s="80"/>
      <c r="I48" s="80"/>
      <c r="J48" s="80" t="s">
        <v>75</v>
      </c>
      <c r="K48" s="80" t="s">
        <v>75</v>
      </c>
      <c r="L48" s="84">
        <v>-16</v>
      </c>
      <c r="M48" s="84"/>
      <c r="R48" s="80"/>
      <c r="W48" s="80"/>
    </row>
    <row r="49" spans="1:24" x14ac:dyDescent="0.25">
      <c r="A49" t="s">
        <v>143</v>
      </c>
      <c r="B49" t="s">
        <v>144</v>
      </c>
      <c r="C49" s="86">
        <v>507</v>
      </c>
      <c r="D49" t="s">
        <v>144</v>
      </c>
      <c r="G49" s="80" t="s">
        <v>157</v>
      </c>
      <c r="H49" s="80"/>
      <c r="I49" s="80"/>
      <c r="J49" s="81">
        <v>12131</v>
      </c>
      <c r="K49" s="81">
        <v>10957</v>
      </c>
      <c r="L49" s="81">
        <v>13214</v>
      </c>
      <c r="M49" s="81"/>
      <c r="R49" s="81"/>
      <c r="W49" s="81"/>
    </row>
    <row r="50" spans="1:24" x14ac:dyDescent="0.25">
      <c r="G50" s="80" t="s">
        <v>158</v>
      </c>
      <c r="H50" s="80"/>
      <c r="I50" s="80"/>
      <c r="J50" s="83">
        <v>10957</v>
      </c>
      <c r="K50" s="83">
        <v>13214</v>
      </c>
      <c r="L50" s="83">
        <v>12330</v>
      </c>
      <c r="M50" s="83"/>
      <c r="R50" s="83"/>
      <c r="W50" s="83"/>
    </row>
    <row r="51" spans="1:24" x14ac:dyDescent="0.25">
      <c r="G51" s="80" t="s">
        <v>140</v>
      </c>
      <c r="H51" s="80"/>
      <c r="I51" s="80"/>
      <c r="K51" s="80"/>
      <c r="L51" s="80"/>
      <c r="M51" s="80"/>
      <c r="N51" s="80"/>
      <c r="R51" s="80"/>
      <c r="S51" s="80"/>
    </row>
    <row r="52" spans="1:24" x14ac:dyDescent="0.25">
      <c r="G52" s="80" t="s">
        <v>141</v>
      </c>
      <c r="H52" s="80"/>
      <c r="I52" s="80"/>
      <c r="J52" s="83">
        <v>725</v>
      </c>
      <c r="K52" s="83">
        <v>658</v>
      </c>
      <c r="L52" s="83">
        <v>657</v>
      </c>
      <c r="M52" s="83"/>
      <c r="R52" s="83"/>
      <c r="W52" s="83"/>
    </row>
    <row r="53" spans="1:24" x14ac:dyDescent="0.25">
      <c r="G53" s="80" t="s">
        <v>142</v>
      </c>
      <c r="H53" s="80"/>
      <c r="I53" s="80"/>
      <c r="J53" s="83">
        <v>1191</v>
      </c>
      <c r="K53" s="83">
        <v>678</v>
      </c>
      <c r="L53" s="83">
        <v>1222</v>
      </c>
      <c r="M53" s="83"/>
      <c r="R53" s="83"/>
      <c r="W53" s="83"/>
    </row>
    <row r="54" spans="1:24" x14ac:dyDescent="0.25">
      <c r="G54" s="80" t="s">
        <v>143</v>
      </c>
      <c r="H54" s="80"/>
      <c r="I54" s="80"/>
      <c r="J54" s="83">
        <v>11526</v>
      </c>
      <c r="K54" s="80" t="s">
        <v>144</v>
      </c>
      <c r="L54" s="83">
        <v>60</v>
      </c>
      <c r="M54" s="83"/>
      <c r="R54" s="80"/>
      <c r="W54" s="83"/>
    </row>
    <row r="55" spans="1:24" x14ac:dyDescent="0.25">
      <c r="G55" s="80" t="s">
        <v>159</v>
      </c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</row>
    <row r="56" spans="1:24" x14ac:dyDescent="0.25">
      <c r="J56" s="80" t="s">
        <v>60</v>
      </c>
      <c r="K56" s="80" t="s">
        <v>59</v>
      </c>
      <c r="L56" s="80" t="s">
        <v>58</v>
      </c>
      <c r="M56" s="80"/>
      <c r="N56" s="80"/>
      <c r="R56" s="80"/>
      <c r="S56" s="80"/>
      <c r="W56" s="80"/>
      <c r="X56" s="80"/>
    </row>
    <row r="57" spans="1:24" x14ac:dyDescent="0.25">
      <c r="G57" s="80" t="s">
        <v>160</v>
      </c>
      <c r="H57" s="80"/>
      <c r="I57" s="80"/>
      <c r="J57" s="83">
        <v>10800</v>
      </c>
      <c r="K57" s="83">
        <v>13118</v>
      </c>
      <c r="L57" s="83">
        <v>12074</v>
      </c>
      <c r="M57" s="83"/>
      <c r="R57" s="83"/>
      <c r="W57" s="83"/>
    </row>
    <row r="58" spans="1:24" x14ac:dyDescent="0.25">
      <c r="G58" s="80" t="s">
        <v>161</v>
      </c>
      <c r="H58" s="80"/>
      <c r="I58" s="80"/>
      <c r="J58" s="81">
        <v>157</v>
      </c>
      <c r="K58" s="81">
        <v>96</v>
      </c>
      <c r="L58" s="81">
        <v>256</v>
      </c>
      <c r="M58" s="81"/>
      <c r="R58" s="81"/>
      <c r="W58" s="81"/>
    </row>
    <row r="59" spans="1:24" x14ac:dyDescent="0.25">
      <c r="G59" s="80" t="s">
        <v>162</v>
      </c>
      <c r="H59" s="80"/>
      <c r="I59" s="80"/>
      <c r="J59" s="83">
        <v>10957</v>
      </c>
      <c r="K59" s="83">
        <v>13214</v>
      </c>
      <c r="L59" s="83">
        <v>12330</v>
      </c>
      <c r="M59" s="83"/>
      <c r="R59" s="83"/>
      <c r="W59" s="83"/>
    </row>
  </sheetData>
  <sortState xmlns:xlrd2="http://schemas.microsoft.com/office/spreadsheetml/2017/richdata2" columnSort="1" ref="J5:V59">
    <sortCondition ref="J5:V5"/>
  </sortState>
  <mergeCells count="6">
    <mergeCell ref="B5:E5"/>
    <mergeCell ref="G1:L1"/>
    <mergeCell ref="G4:I4"/>
    <mergeCell ref="J4:X4"/>
    <mergeCell ref="A1:E1"/>
    <mergeCell ref="A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A8D0-EB60-4713-9C2D-7D0CE764B52F}">
  <dimension ref="A1:N21"/>
  <sheetViews>
    <sheetView workbookViewId="0">
      <selection activeCell="F11" sqref="F11"/>
    </sheetView>
  </sheetViews>
  <sheetFormatPr defaultRowHeight="15" x14ac:dyDescent="0.25"/>
  <cols>
    <col min="3" max="3" width="11.5703125" customWidth="1"/>
    <col min="11" max="11" width="11.7109375" customWidth="1"/>
  </cols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ht="23.25" x14ac:dyDescent="0.35">
      <c r="A2" s="2"/>
      <c r="B2" s="36" t="s">
        <v>1</v>
      </c>
      <c r="C2" s="2"/>
      <c r="D2" s="2"/>
      <c r="E2" s="2"/>
      <c r="F2" s="2"/>
      <c r="G2" s="2"/>
      <c r="H2" s="2"/>
      <c r="I2" s="2"/>
      <c r="J2" s="2"/>
      <c r="K2" s="2"/>
      <c r="L2" s="37"/>
    </row>
    <row r="3" spans="1:14" x14ac:dyDescent="0.25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2"/>
    </row>
    <row r="4" spans="1:14" x14ac:dyDescent="0.25">
      <c r="A4" s="39" t="s">
        <v>41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x14ac:dyDescent="0.25">
      <c r="A6" s="2"/>
      <c r="B6" s="2" t="s">
        <v>42</v>
      </c>
      <c r="C6" s="2"/>
      <c r="D6" s="40">
        <v>0.26</v>
      </c>
      <c r="E6" s="2"/>
      <c r="F6" s="2"/>
      <c r="G6" s="2"/>
      <c r="H6" s="2"/>
      <c r="I6" s="2"/>
      <c r="J6" s="2"/>
      <c r="K6" s="2"/>
      <c r="L6" s="2"/>
    </row>
    <row r="7" spans="1:14" x14ac:dyDescent="0.25">
      <c r="A7" s="2"/>
      <c r="B7" s="2" t="s">
        <v>43</v>
      </c>
      <c r="C7" s="2"/>
      <c r="D7" s="40">
        <v>3.6999999999999998E-2</v>
      </c>
      <c r="E7" s="2"/>
      <c r="F7" s="2"/>
      <c r="G7" s="2"/>
      <c r="H7" s="2"/>
      <c r="I7" s="2"/>
      <c r="J7" s="2"/>
      <c r="K7" s="2"/>
      <c r="L7" s="2"/>
    </row>
    <row r="8" spans="1:14" x14ac:dyDescent="0.25">
      <c r="A8" s="2"/>
      <c r="B8" s="2" t="s">
        <v>44</v>
      </c>
      <c r="C8" s="2"/>
      <c r="D8" s="41">
        <v>0.68</v>
      </c>
      <c r="E8" s="2"/>
      <c r="F8" s="2"/>
      <c r="G8" s="2"/>
      <c r="H8" s="2"/>
      <c r="I8" s="2"/>
      <c r="J8" s="2"/>
      <c r="K8" s="2"/>
      <c r="L8" s="2"/>
    </row>
    <row r="9" spans="1:14" x14ac:dyDescent="0.25">
      <c r="A9" s="2"/>
      <c r="B9" s="2" t="s">
        <v>45</v>
      </c>
      <c r="C9" s="2"/>
      <c r="D9" s="40">
        <v>0.06</v>
      </c>
      <c r="E9" s="2"/>
      <c r="F9" s="2"/>
      <c r="G9" s="2"/>
      <c r="H9" s="2"/>
      <c r="I9" s="2"/>
      <c r="J9" s="2"/>
      <c r="K9" s="2"/>
      <c r="L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4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4" x14ac:dyDescent="0.25">
      <c r="A12" s="2" t="s">
        <v>35</v>
      </c>
      <c r="B12" s="2"/>
      <c r="C12" s="22">
        <f>'CNC DCF'!D64</f>
        <v>34562.614974289994</v>
      </c>
      <c r="D12" s="2"/>
      <c r="E12" s="2" t="s">
        <v>34</v>
      </c>
      <c r="F12" s="2"/>
      <c r="G12" s="22">
        <f>'CNC DCF'!D61</f>
        <v>21438</v>
      </c>
      <c r="H12" s="2"/>
      <c r="I12" s="2" t="s">
        <v>46</v>
      </c>
      <c r="J12" s="2"/>
      <c r="K12" s="22">
        <f>G12+C12</f>
        <v>56000.614974289994</v>
      </c>
      <c r="L12" s="2"/>
    </row>
    <row r="13" spans="1:14" x14ac:dyDescent="0.25">
      <c r="A13" s="2" t="s">
        <v>47</v>
      </c>
      <c r="B13" s="2"/>
      <c r="C13" s="42">
        <f>C12/K12</f>
        <v>0.61718277540626598</v>
      </c>
      <c r="D13" s="2"/>
      <c r="E13" s="2" t="s">
        <v>48</v>
      </c>
      <c r="F13" s="2"/>
      <c r="G13" s="43">
        <f>G12/K12</f>
        <v>0.38281722459373407</v>
      </c>
      <c r="H13" s="2"/>
      <c r="I13" s="2"/>
      <c r="J13" s="2"/>
      <c r="K13" s="2"/>
      <c r="L13" s="2"/>
      <c r="M13" s="34"/>
    </row>
    <row r="14" spans="1:14" x14ac:dyDescent="0.25">
      <c r="A14" s="2" t="s">
        <v>49</v>
      </c>
      <c r="B14" s="2"/>
      <c r="C14" s="44">
        <f>D7+D8*(D9)</f>
        <v>7.7800000000000008E-2</v>
      </c>
      <c r="D14" s="2"/>
      <c r="E14" s="2" t="s">
        <v>50</v>
      </c>
      <c r="F14" s="2"/>
      <c r="G14" s="45">
        <v>0.02</v>
      </c>
      <c r="H14" s="2"/>
      <c r="I14" s="46" t="s">
        <v>1</v>
      </c>
      <c r="J14" s="47"/>
      <c r="K14" s="67">
        <f>C13*C14+G14*G13*(1-D6)</f>
        <v>5.3682514850594762E-2</v>
      </c>
      <c r="L14" s="2"/>
    </row>
    <row r="15" spans="1:14" x14ac:dyDescent="0.25">
      <c r="D15" s="34"/>
      <c r="G15" s="34"/>
      <c r="J15" s="34"/>
      <c r="M15" s="34"/>
    </row>
    <row r="16" spans="1:14" x14ac:dyDescent="0.25">
      <c r="A16" t="s">
        <v>40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</row>
    <row r="17" spans="4:13" x14ac:dyDescent="0.25">
      <c r="D17" s="34"/>
      <c r="G17" s="34"/>
      <c r="J17" s="34"/>
      <c r="M17" s="34"/>
    </row>
    <row r="21" spans="4:13" x14ac:dyDescent="0.25">
      <c r="D21" s="34"/>
      <c r="E21" s="34"/>
      <c r="F21" s="34"/>
      <c r="G21" s="34"/>
      <c r="H21" s="34"/>
      <c r="I21" s="34"/>
      <c r="J21" s="34"/>
      <c r="K21" s="34"/>
      <c r="L21" s="34"/>
      <c r="M21" s="3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C471E9-7A90-4972-BBDB-AEF67D9678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CNC DCF</vt:lpstr>
      <vt:lpstr>Sheet1</vt:lpstr>
      <vt:lpstr>Sheet2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2023-05-03T08:58:35Z</dcterms:created>
  <dcterms:modified xsi:type="dcterms:W3CDTF">2023-08-21T17:35:26Z</dcterms:modified>
</cp:coreProperties>
</file>