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13_ncr:1_{41988864-914A-4511-A6D9-691B435814A4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AAPL DCF" sheetId="1" r:id="rId1"/>
    <sheet name="WAC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4" i="1" l="1"/>
  <c r="L63" i="1"/>
  <c r="L60" i="1"/>
  <c r="L61" i="1"/>
  <c r="C15" i="2"/>
  <c r="D61" i="1"/>
  <c r="D63" i="1"/>
  <c r="D64" i="1" s="1"/>
  <c r="C13" i="2" s="1"/>
  <c r="I51" i="1"/>
  <c r="J51" i="1"/>
  <c r="K51" i="1"/>
  <c r="L51" i="1"/>
  <c r="M51" i="1"/>
  <c r="N51" i="1"/>
  <c r="O51" i="1"/>
  <c r="P51" i="1"/>
  <c r="Q51" i="1"/>
  <c r="R51" i="1"/>
  <c r="C51" i="1"/>
  <c r="D51" i="1"/>
  <c r="E51" i="1"/>
  <c r="F51" i="1"/>
  <c r="G51" i="1"/>
  <c r="H51" i="1"/>
  <c r="J45" i="1"/>
  <c r="K45" i="1"/>
  <c r="L45" i="1"/>
  <c r="M45" i="1"/>
  <c r="N45" i="1"/>
  <c r="O45" i="1"/>
  <c r="P45" i="1"/>
  <c r="Q45" i="1"/>
  <c r="R45" i="1"/>
  <c r="I45" i="1"/>
  <c r="J42" i="1"/>
  <c r="K42" i="1"/>
  <c r="L42" i="1"/>
  <c r="M42" i="1"/>
  <c r="N42" i="1"/>
  <c r="O42" i="1"/>
  <c r="P42" i="1"/>
  <c r="Q42" i="1"/>
  <c r="R42" i="1"/>
  <c r="I42" i="1"/>
  <c r="J11" i="1"/>
  <c r="K11" i="1"/>
  <c r="L11" i="1" s="1"/>
  <c r="M11" i="1" s="1"/>
  <c r="N11" i="1" s="1"/>
  <c r="O11" i="1" s="1"/>
  <c r="P11" i="1" s="1"/>
  <c r="Q11" i="1" s="1"/>
  <c r="R11" i="1" s="1"/>
  <c r="I11" i="1"/>
  <c r="K23" i="1"/>
  <c r="P23" i="1" s="1"/>
  <c r="R23" i="1" s="1"/>
  <c r="D60" i="1"/>
  <c r="H28" i="1"/>
  <c r="H29" i="1" s="1"/>
  <c r="C28" i="1"/>
  <c r="D28" i="1"/>
  <c r="E28" i="1"/>
  <c r="F28" i="1"/>
  <c r="G28" i="1"/>
  <c r="D6" i="2"/>
  <c r="G13" i="2"/>
  <c r="D26" i="1" l="1"/>
  <c r="E26" i="1"/>
  <c r="F26" i="1"/>
  <c r="G26" i="1"/>
  <c r="H26" i="1"/>
  <c r="C26" i="1"/>
  <c r="D23" i="1"/>
  <c r="E23" i="1"/>
  <c r="F23" i="1"/>
  <c r="G23" i="1"/>
  <c r="H23" i="1"/>
  <c r="C23" i="1"/>
  <c r="D20" i="1"/>
  <c r="E20" i="1"/>
  <c r="F20" i="1"/>
  <c r="G20" i="1"/>
  <c r="H20" i="1"/>
  <c r="C20" i="1"/>
  <c r="F46" i="1"/>
  <c r="G46" i="1"/>
  <c r="H46" i="1"/>
  <c r="E46" i="1"/>
  <c r="D46" i="1"/>
  <c r="C46" i="1"/>
  <c r="D43" i="1"/>
  <c r="C43" i="1"/>
  <c r="F43" i="1"/>
  <c r="H43" i="1"/>
  <c r="F29" i="1"/>
  <c r="D29" i="1"/>
  <c r="G49" i="1"/>
  <c r="H49" i="1"/>
  <c r="G43" i="1"/>
  <c r="G16" i="1"/>
  <c r="G31" i="1" s="1"/>
  <c r="G33" i="1" s="1"/>
  <c r="G52" i="1" s="1"/>
  <c r="F16" i="1"/>
  <c r="F31" i="1" s="1"/>
  <c r="F33" i="1" s="1"/>
  <c r="F52" i="1" s="1"/>
  <c r="H16" i="1"/>
  <c r="H31" i="1" s="1"/>
  <c r="E49" i="1"/>
  <c r="D49" i="1"/>
  <c r="C49" i="1"/>
  <c r="E43" i="1"/>
  <c r="D41" i="1"/>
  <c r="E41" i="1" s="1"/>
  <c r="E16" i="1"/>
  <c r="E31" i="1" s="1"/>
  <c r="E33" i="1" s="1"/>
  <c r="E52" i="1" s="1"/>
  <c r="D16" i="1"/>
  <c r="D31" i="1" s="1"/>
  <c r="D33" i="1" s="1"/>
  <c r="D52" i="1" s="1"/>
  <c r="C16" i="1"/>
  <c r="C31" i="1" s="1"/>
  <c r="C33" i="1" s="1"/>
  <c r="C52" i="1" s="1"/>
  <c r="H12" i="1"/>
  <c r="G12" i="1"/>
  <c r="F12" i="1"/>
  <c r="E12" i="1"/>
  <c r="D12" i="1"/>
  <c r="J9" i="1"/>
  <c r="K9" i="1" s="1"/>
  <c r="L9" i="1" s="1"/>
  <c r="M9" i="1" s="1"/>
  <c r="N9" i="1" s="1"/>
  <c r="O9" i="1" s="1"/>
  <c r="P9" i="1" s="1"/>
  <c r="Q9" i="1" s="1"/>
  <c r="R9" i="1" s="1"/>
  <c r="H33" i="1" l="1"/>
  <c r="H35" i="1"/>
  <c r="H54" i="1" s="1"/>
  <c r="H52" i="1"/>
  <c r="E17" i="1"/>
  <c r="G17" i="1"/>
  <c r="F35" i="1"/>
  <c r="F54" i="1" s="1"/>
  <c r="I25" i="1"/>
  <c r="I19" i="1"/>
  <c r="I22" i="1"/>
  <c r="C17" i="1"/>
  <c r="I48" i="1"/>
  <c r="F49" i="1"/>
  <c r="K13" i="2"/>
  <c r="I16" i="1"/>
  <c r="D17" i="1"/>
  <c r="H17" i="1"/>
  <c r="F17" i="1"/>
  <c r="C29" i="1"/>
  <c r="E29" i="1"/>
  <c r="G29" i="1"/>
  <c r="I28" i="1" l="1"/>
  <c r="I31" i="1" s="1"/>
  <c r="F39" i="1"/>
  <c r="D35" i="1"/>
  <c r="D54" i="1" s="1"/>
  <c r="K25" i="1"/>
  <c r="J25" i="1"/>
  <c r="J22" i="1"/>
  <c r="J19" i="1"/>
  <c r="I14" i="1"/>
  <c r="C14" i="2"/>
  <c r="G14" i="2"/>
  <c r="G35" i="1"/>
  <c r="G54" i="1" s="1"/>
  <c r="E35" i="1"/>
  <c r="C35" i="1"/>
  <c r="J48" i="1"/>
  <c r="J16" i="1"/>
  <c r="K15" i="2" l="1"/>
  <c r="E5" i="1" s="1"/>
  <c r="I29" i="1"/>
  <c r="C39" i="1"/>
  <c r="C54" i="1"/>
  <c r="E39" i="1"/>
  <c r="E54" i="1"/>
  <c r="I33" i="1"/>
  <c r="I35" i="1"/>
  <c r="J28" i="1"/>
  <c r="J31" i="1" s="1"/>
  <c r="H39" i="1"/>
  <c r="D39" i="1"/>
  <c r="G39" i="1"/>
  <c r="K19" i="1"/>
  <c r="K22" i="1"/>
  <c r="D36" i="1"/>
  <c r="F36" i="1"/>
  <c r="H36" i="1"/>
  <c r="J14" i="1"/>
  <c r="K16" i="1"/>
  <c r="G36" i="1"/>
  <c r="C36" i="1"/>
  <c r="E36" i="1"/>
  <c r="K48" i="1"/>
  <c r="I36" i="1" l="1"/>
  <c r="I38" i="1"/>
  <c r="I54" i="1" s="1"/>
  <c r="I55" i="1" s="1"/>
  <c r="J33" i="1"/>
  <c r="J35" i="1"/>
  <c r="K28" i="1"/>
  <c r="K31" i="1" s="1"/>
  <c r="J29" i="1"/>
  <c r="K14" i="1"/>
  <c r="L22" i="1"/>
  <c r="L19" i="1"/>
  <c r="L25" i="1"/>
  <c r="L48" i="1"/>
  <c r="L16" i="1"/>
  <c r="I52" i="1" l="1"/>
  <c r="K33" i="1"/>
  <c r="K35" i="1"/>
  <c r="J36" i="1"/>
  <c r="J38" i="1"/>
  <c r="K29" i="1"/>
  <c r="L28" i="1"/>
  <c r="L31" i="1" s="1"/>
  <c r="L35" i="1" s="1"/>
  <c r="L36" i="1" s="1"/>
  <c r="M25" i="1"/>
  <c r="M22" i="1"/>
  <c r="M19" i="1"/>
  <c r="L14" i="1"/>
  <c r="M16" i="1"/>
  <c r="M48" i="1"/>
  <c r="K36" i="1" l="1"/>
  <c r="K38" i="1"/>
  <c r="L38" i="1"/>
  <c r="L33" i="1"/>
  <c r="J52" i="1"/>
  <c r="J54" i="1"/>
  <c r="J55" i="1" s="1"/>
  <c r="L29" i="1"/>
  <c r="M28" i="1"/>
  <c r="M31" i="1" s="1"/>
  <c r="M35" i="1" s="1"/>
  <c r="M36" i="1" s="1"/>
  <c r="M29" i="1"/>
  <c r="M14" i="1"/>
  <c r="N22" i="1"/>
  <c r="N19" i="1"/>
  <c r="N25" i="1"/>
  <c r="N48" i="1"/>
  <c r="N16" i="1"/>
  <c r="N14" i="1" s="1"/>
  <c r="L52" i="1" l="1"/>
  <c r="M38" i="1"/>
  <c r="M33" i="1"/>
  <c r="K52" i="1"/>
  <c r="K54" i="1"/>
  <c r="K55" i="1" s="1"/>
  <c r="N28" i="1"/>
  <c r="N31" i="1" s="1"/>
  <c r="L54" i="1"/>
  <c r="L55" i="1" s="1"/>
  <c r="O25" i="1"/>
  <c r="O22" i="1"/>
  <c r="O19" i="1"/>
  <c r="O16" i="1"/>
  <c r="O48" i="1"/>
  <c r="M52" i="1" l="1"/>
  <c r="N33" i="1"/>
  <c r="N35" i="1"/>
  <c r="O28" i="1"/>
  <c r="O31" i="1" s="1"/>
  <c r="N29" i="1"/>
  <c r="M54" i="1"/>
  <c r="M55" i="1" s="1"/>
  <c r="O14" i="1"/>
  <c r="P22" i="1"/>
  <c r="P19" i="1"/>
  <c r="P25" i="1"/>
  <c r="P16" i="1"/>
  <c r="P48" i="1"/>
  <c r="N36" i="1" l="1"/>
  <c r="N38" i="1"/>
  <c r="N52" i="1" s="1"/>
  <c r="O33" i="1"/>
  <c r="O35" i="1"/>
  <c r="P28" i="1"/>
  <c r="P31" i="1" s="1"/>
  <c r="O29" i="1"/>
  <c r="P29" i="1"/>
  <c r="Q25" i="1"/>
  <c r="Q22" i="1"/>
  <c r="Q19" i="1"/>
  <c r="P14" i="1"/>
  <c r="Q16" i="1"/>
  <c r="Q48" i="1"/>
  <c r="P33" i="1" l="1"/>
  <c r="P35" i="1"/>
  <c r="O36" i="1"/>
  <c r="O38" i="1"/>
  <c r="O54" i="1" s="1"/>
  <c r="O55" i="1" s="1"/>
  <c r="N54" i="1"/>
  <c r="N55" i="1" s="1"/>
  <c r="Q28" i="1"/>
  <c r="Q31" i="1" s="1"/>
  <c r="Q35" i="1" s="1"/>
  <c r="Q36" i="1" s="1"/>
  <c r="R22" i="1"/>
  <c r="R19" i="1"/>
  <c r="R25" i="1"/>
  <c r="R16" i="1"/>
  <c r="R48" i="1"/>
  <c r="Q14" i="1"/>
  <c r="Q38" i="1" l="1"/>
  <c r="Q33" i="1"/>
  <c r="P36" i="1"/>
  <c r="P38" i="1"/>
  <c r="O52" i="1"/>
  <c r="Q29" i="1"/>
  <c r="R28" i="1"/>
  <c r="R31" i="1" s="1"/>
  <c r="R35" i="1" s="1"/>
  <c r="R36" i="1" s="1"/>
  <c r="R14" i="1"/>
  <c r="R38" i="1" l="1"/>
  <c r="R54" i="1" s="1"/>
  <c r="Q52" i="1"/>
  <c r="R33" i="1"/>
  <c r="R52" i="1" s="1"/>
  <c r="R29" i="1"/>
  <c r="P52" i="1"/>
  <c r="P54" i="1"/>
  <c r="P55" i="1" s="1"/>
  <c r="Q54" i="1"/>
  <c r="Q55" i="1" s="1"/>
  <c r="C57" i="1" l="1"/>
  <c r="C58" i="1" s="1"/>
  <c r="R55" i="1"/>
  <c r="G60" i="1" l="1"/>
  <c r="G62" i="1" s="1"/>
  <c r="G65" i="1" s="1"/>
  <c r="S52" i="1" l="1"/>
  <c r="T52" i="1" s="1"/>
  <c r="U52" i="1" s="1"/>
  <c r="V52" i="1" s="1"/>
  <c r="W52" i="1" s="1"/>
  <c r="X52" i="1" s="1"/>
  <c r="Y52" i="1" s="1"/>
  <c r="Z52" i="1" s="1"/>
  <c r="AA52" i="1" s="1"/>
  <c r="AB52" i="1" s="1"/>
  <c r="AC52" i="1" s="1"/>
  <c r="AD52" i="1" s="1"/>
  <c r="AE52" i="1" s="1"/>
  <c r="AF52" i="1" s="1"/>
  <c r="AG52" i="1" s="1"/>
  <c r="AH52" i="1" s="1"/>
  <c r="AI52" i="1" s="1"/>
  <c r="AJ52" i="1" s="1"/>
  <c r="AK52" i="1" s="1"/>
  <c r="AL52" i="1" s="1"/>
  <c r="AM52" i="1" s="1"/>
  <c r="AN52" i="1" s="1"/>
  <c r="AO52" i="1" s="1"/>
  <c r="AP52" i="1" s="1"/>
  <c r="AQ52" i="1" s="1"/>
  <c r="AR52" i="1" s="1"/>
  <c r="AS52" i="1" s="1"/>
  <c r="AT52" i="1" s="1"/>
  <c r="AU52" i="1" s="1"/>
  <c r="AV52" i="1" s="1"/>
  <c r="AW52" i="1" s="1"/>
  <c r="AX52" i="1" s="1"/>
  <c r="AY52" i="1" s="1"/>
  <c r="AZ52" i="1" s="1"/>
  <c r="BA52" i="1" s="1"/>
  <c r="BB52" i="1" s="1"/>
  <c r="BC52" i="1" s="1"/>
  <c r="BD52" i="1" s="1"/>
  <c r="BE52" i="1" s="1"/>
  <c r="BF52" i="1" s="1"/>
  <c r="BG52" i="1" s="1"/>
  <c r="BH52" i="1" s="1"/>
  <c r="BI52" i="1" s="1"/>
  <c r="BJ52" i="1" s="1"/>
  <c r="BK52" i="1" s="1"/>
  <c r="BL52" i="1" s="1"/>
  <c r="BM52" i="1" s="1"/>
  <c r="BN52" i="1" s="1"/>
  <c r="BO52" i="1" s="1"/>
  <c r="BP52" i="1" s="1"/>
  <c r="BQ52" i="1" s="1"/>
  <c r="BR52" i="1" s="1"/>
  <c r="BS52" i="1" s="1"/>
  <c r="BT52" i="1" s="1"/>
  <c r="BU52" i="1" s="1"/>
  <c r="BV52" i="1" s="1"/>
  <c r="BW52" i="1" s="1"/>
  <c r="BX52" i="1" s="1"/>
  <c r="BY52" i="1" s="1"/>
  <c r="BZ52" i="1" s="1"/>
  <c r="CA52" i="1" s="1"/>
  <c r="CB52" i="1" s="1"/>
  <c r="CC52" i="1" s="1"/>
  <c r="CD52" i="1" s="1"/>
  <c r="CE52" i="1" s="1"/>
  <c r="CF52" i="1" s="1"/>
  <c r="CG52" i="1" s="1"/>
  <c r="CH52" i="1" s="1"/>
  <c r="F57" i="1" l="1"/>
  <c r="H60" i="1" s="1"/>
  <c r="H62" i="1" l="1"/>
  <c r="H65" i="1" s="1"/>
  <c r="D65" i="1" s="1"/>
  <c r="L59" i="1" s="1"/>
  <c r="J6" i="1" l="1"/>
  <c r="N5" i="1" s="1"/>
</calcChain>
</file>

<file path=xl/sharedStrings.xml><?xml version="1.0" encoding="utf-8"?>
<sst xmlns="http://schemas.openxmlformats.org/spreadsheetml/2006/main" count="83" uniqueCount="57">
  <si>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</si>
  <si>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</si>
  <si>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</si>
  <si>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</si>
  <si>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</si>
  <si>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</si>
  <si>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</si>
  <si>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</si>
  <si>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</si>
  <si>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</si>
  <si>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</si>
  <si>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</si>
  <si>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R&amp;D</t>
  </si>
  <si>
    <t>Opex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</si>
  <si>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</si>
  <si>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</si>
  <si>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</si>
  <si>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</si>
  <si>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</si>
  <si>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</si>
  <si>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</si>
  <si>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</si>
  <si>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</si>
  <si>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</si>
  <si>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</si>
  <si>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</si>
  <si>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</si>
  <si>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</si>
  <si>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</si>
  <si>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</si>
  <si>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</si>
  <si>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</si>
  <si>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</si>
  <si>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</si>
  <si>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</si>
  <si>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</si>
  <si>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</si>
  <si>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</si>
  <si>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</si>
  <si>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</si>
  <si>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</si>
  <si>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</si>
  <si>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</si>
  <si>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</si>
  <si>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</si>
  <si>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</si>
  <si>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</si>
  <si>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</si>
  <si>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</si>
  <si>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</si>
  <si>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</si>
  <si>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</si>
  <si>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 xml:space="preserve">                                             Terminal Growth Rate</t>
  </si>
  <si>
    <t>Last update</t>
  </si>
  <si>
    <t>SG&amp;A</t>
  </si>
  <si>
    <t>Apple Inc. DCF</t>
  </si>
  <si>
    <t>Adjusted 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</si>
</sst>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4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0" fontId="3" fillId="2" borderId="0" xfId="1" applyNumberFormat="1" applyFont="1" applyFill="1"/>
    <xf numFmtId="3" fontId="0" fillId="2" borderId="0" xfId="0" applyNumberFormat="1" applyFill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8" xfId="0" applyFont="1" applyFill="1" applyBorder="1"/>
    <xf numFmtId="2" fontId="6" fillId="2" borderId="0" xfId="0" applyNumberFormat="1" applyFont="1" applyFill="1"/>
    <xf numFmtId="3" fontId="3" fillId="2" borderId="5" xfId="0" applyNumberFormat="1" applyFont="1" applyFill="1" applyBorder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0" fontId="8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9" xfId="0" applyFont="1" applyFill="1" applyBorder="1"/>
    <xf numFmtId="0" fontId="0" fillId="2" borderId="10" xfId="0" applyFill="1" applyBorder="1"/>
    <xf numFmtId="0" fontId="0" fillId="8" borderId="0" xfId="0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2" fontId="3" fillId="2" borderId="0" xfId="0" applyNumberFormat="1" applyFont="1" applyFill="1"/>
    <xf numFmtId="164" fontId="0" fillId="10" borderId="0" xfId="0" applyNumberFormat="1" applyFill="1"/>
    <xf numFmtId="164" fontId="0" fillId="10" borderId="0" xfId="0" applyNumberFormat="1" applyFill="1" applyAlignment="1">
      <alignment horizontal="left"/>
    </xf>
    <xf numFmtId="2" fontId="0" fillId="2" borderId="0" xfId="0" applyNumberFormat="1" applyFill="1"/>
    <xf numFmtId="2" fontId="0" fillId="3" borderId="0" xfId="0" applyNumberFormat="1" applyFill="1"/>
    <xf numFmtId="164" fontId="3" fillId="10" borderId="0" xfId="1" applyNumberFormat="1" applyFont="1" applyFill="1" applyBorder="1" applyAlignment="1">
      <alignment horizontal="left"/>
    </xf>
    <xf numFmtId="2" fontId="9" fillId="11" borderId="0" xfId="0" applyNumberFormat="1" applyFont="1" applyFill="1"/>
    <xf numFmtId="164" fontId="0" fillId="10" borderId="0" xfId="1" applyNumberFormat="1" applyFont="1" applyFill="1" applyBorder="1" applyAlignment="1">
      <alignment horizontal="left"/>
    </xf>
    <xf numFmtId="3" fontId="3" fillId="8" borderId="0" xfId="0" applyNumberFormat="1" applyFont="1" applyFill="1"/>
    <xf numFmtId="1" fontId="3" fillId="2" borderId="1" xfId="0" applyNumberFormat="1" applyFont="1" applyFill="1" applyBorder="1"/>
    <xf numFmtId="0" fontId="6" fillId="4" borderId="4" xfId="0" applyFont="1" applyFill="1" applyBorder="1"/>
    <xf numFmtId="1" fontId="3" fillId="2" borderId="12" xfId="0" applyNumberFormat="1" applyFont="1" applyFill="1" applyBorder="1"/>
    <xf numFmtId="14" fontId="3" fillId="2" borderId="0" xfId="0" applyNumberFormat="1" applyFont="1" applyFill="1"/>
    <xf numFmtId="9" fontId="3" fillId="2" borderId="0" xfId="1" applyFont="1" applyFill="1" applyAlignment="1">
      <alignment horizontal="left"/>
    </xf>
    <xf numFmtId="165" fontId="2" fillId="2" borderId="11" xfId="0" applyNumberFormat="1" applyFont="1" applyFill="1" applyBorder="1"/>
    <xf numFmtId="0" fontId="7" fillId="12" borderId="0" xfId="0" applyFont="1" applyFill="1"/>
    <xf numFmtId="164" fontId="7" fillId="12" borderId="0" xfId="1" applyNumberFormat="1" applyFont="1" applyFill="1"/>
    <xf numFmtId="164" fontId="3" fillId="12" borderId="0" xfId="1" applyNumberFormat="1" applyFont="1" applyFill="1"/>
    <xf numFmtId="3" fontId="0" fillId="2" borderId="1" xfId="0" applyNumberFormat="1" applyFill="1" applyBorder="1"/>
    <xf numFmtId="0" fontId="10" fillId="2" borderId="0" xfId="0" applyFont="1" applyFill="1"/>
    <xf numFmtId="2" fontId="3" fillId="2" borderId="0" xfId="0" applyNumberFormat="1" applyFont="1" applyFill="1" applyAlignment="1">
      <alignment horizontal="left"/>
    </xf>
    <xf numFmtId="0" fontId="6" fillId="4" borderId="0" xfId="0" applyFont="1" applyFill="1" applyBorder="1"/>
    <xf numFmtId="1" fontId="0" fillId="2" borderId="4" xfId="0" applyNumberFormat="1" applyFont="1" applyFill="1" applyBorder="1"/>
    <xf numFmtId="1" fontId="0" fillId="2" borderId="0" xfId="0" applyNumberFormat="1" applyFont="1" applyFill="1" applyBorder="1"/>
    <xf numFmtId="0" fontId="0" fillId="2" borderId="4" xfId="0" applyFont="1" applyFill="1" applyBorder="1"/>
    <xf numFmtId="0" fontId="0" fillId="2" borderId="0" xfId="0" applyFont="1" applyFill="1" applyBorder="1"/>
    <xf numFmtId="1" fontId="0" fillId="2" borderId="12" xfId="0" applyNumberFormat="1" applyFont="1" applyFill="1" applyBorder="1"/>
    <xf numFmtId="1" fontId="0" fillId="2" borderId="1" xfId="0" applyNumberFormat="1" applyFont="1" applyFill="1" applyBorder="1"/>
    <xf numFmtId="164" fontId="11" fillId="2" borderId="4" xfId="1" applyNumberFormat="1" applyFont="1" applyFill="1" applyBorder="1"/>
    <xf numFmtId="164" fontId="11" fillId="2" borderId="0" xfId="1" applyNumberFormat="1" applyFont="1" applyFill="1" applyBorder="1"/>
    <xf numFmtId="3" fontId="0" fillId="2" borderId="4" xfId="0" applyNumberFormat="1" applyFont="1" applyFill="1" applyBorder="1"/>
    <xf numFmtId="3" fontId="0" fillId="2" borderId="0" xfId="0" applyNumberFormat="1" applyFont="1" applyFill="1" applyBorder="1"/>
    <xf numFmtId="0" fontId="2" fillId="3" borderId="4" xfId="0" applyFont="1" applyFill="1" applyBorder="1"/>
    <xf numFmtId="0" fontId="2" fillId="3" borderId="0" xfId="0" applyFont="1" applyFill="1" applyBorder="1"/>
    <xf numFmtId="164" fontId="11" fillId="5" borderId="4" xfId="1" applyNumberFormat="1" applyFont="1" applyFill="1" applyBorder="1"/>
    <xf numFmtId="164" fontId="11" fillId="5" borderId="0" xfId="1" applyNumberFormat="1" applyFont="1" applyFill="1" applyBorder="1"/>
    <xf numFmtId="164" fontId="11" fillId="5" borderId="4" xfId="0" applyNumberFormat="1" applyFont="1" applyFill="1" applyBorder="1"/>
    <xf numFmtId="164" fontId="11" fillId="5" borderId="0" xfId="0" applyNumberFormat="1" applyFont="1" applyFill="1" applyBorder="1"/>
    <xf numFmtId="10" fontId="11" fillId="5" borderId="4" xfId="0" applyNumberFormat="1" applyFont="1" applyFill="1" applyBorder="1"/>
    <xf numFmtId="10" fontId="11" fillId="5" borderId="0" xfId="0" applyNumberFormat="1" applyFont="1" applyFill="1" applyBorder="1"/>
    <xf numFmtId="164" fontId="0" fillId="5" borderId="4" xfId="0" applyNumberFormat="1" applyFont="1" applyFill="1" applyBorder="1"/>
    <xf numFmtId="164" fontId="0" fillId="5" borderId="0" xfId="0" applyNumberFormat="1" applyFont="1" applyFill="1" applyBorder="1"/>
    <xf numFmtId="0" fontId="0" fillId="7" borderId="0" xfId="0" applyNumberFormat="1" applyFill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H66"/>
  <sheetViews>
    <sheetView tabSelected="1" workbookViewId="0">
      <selection activeCell="E9" sqref="E9"/>
    </sheetView>
  </sheetViews>
  <sheetFormatPr defaultRowHeight="15" x14ac:dyDescent="0.25"/>
  <cols>
    <col min="1" max="1" width="7.7109375" style="2" customWidth="1"/>
    <col min="2" max="2" width="14.5703125" style="2" customWidth="1"/>
    <col min="3" max="13" width="9.140625" style="2"/>
    <col min="14" max="14" width="10.7109375" style="2" bestFit="1" customWidth="1"/>
    <col min="15" max="15" width="9.140625" style="2"/>
    <col min="16" max="16" width="10.7109375" style="2" customWidth="1"/>
    <col min="17" max="18" width="9.140625" style="2"/>
    <col min="19" max="16384" width="9.140625" style="48"/>
  </cols>
  <sheetData>
    <row r="1" spans="1:8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86" ht="23.25" x14ac:dyDescent="0.35">
      <c r="A2" s="3"/>
      <c r="B2" s="4" t="s">
        <v>55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86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86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0"/>
    </row>
    <row r="5" spans="1:86" x14ac:dyDescent="0.25">
      <c r="A5" s="1"/>
      <c r="B5" s="1"/>
      <c r="C5" s="7" t="s">
        <v>1</v>
      </c>
      <c r="D5" s="1"/>
      <c r="E5" s="8">
        <f>WACC!K15</f>
        <v>0.10354248792816041</v>
      </c>
      <c r="G5" s="1"/>
      <c r="H5" s="1" t="s">
        <v>2</v>
      </c>
      <c r="I5" s="1"/>
      <c r="J5" s="7">
        <v>173.57</v>
      </c>
      <c r="K5" s="1"/>
      <c r="L5" s="1" t="s">
        <v>3</v>
      </c>
      <c r="M5" s="1"/>
      <c r="N5" s="64">
        <f>(J6/J5)-1</f>
        <v>-0.25365035317122675</v>
      </c>
      <c r="O5" s="1"/>
      <c r="P5" s="1"/>
      <c r="Q5" s="1"/>
    </row>
    <row r="6" spans="1:86" x14ac:dyDescent="0.25">
      <c r="A6" s="1"/>
      <c r="B6" s="1"/>
      <c r="C6" s="7" t="s">
        <v>4</v>
      </c>
      <c r="D6" s="1"/>
      <c r="E6" s="8">
        <v>0.04</v>
      </c>
      <c r="G6" s="1"/>
      <c r="H6" s="1" t="s">
        <v>5</v>
      </c>
      <c r="I6" s="1"/>
      <c r="J6" s="71">
        <f>D65</f>
        <v>129.54390820007018</v>
      </c>
      <c r="K6" s="1"/>
      <c r="L6" s="1" t="s">
        <v>53</v>
      </c>
      <c r="M6" s="1"/>
      <c r="N6" s="63">
        <v>45080</v>
      </c>
      <c r="O6" s="1"/>
      <c r="P6" s="1"/>
      <c r="Q6" s="1"/>
    </row>
    <row r="7" spans="1:86" x14ac:dyDescent="0.25">
      <c r="B7" s="63"/>
      <c r="C7" s="1"/>
      <c r="D7" s="1"/>
      <c r="E7" s="9"/>
      <c r="F7" s="1"/>
      <c r="G7" s="1"/>
      <c r="H7" s="1"/>
      <c r="I7" s="1"/>
      <c r="J7" s="1"/>
      <c r="K7" s="1"/>
      <c r="L7" s="54"/>
      <c r="M7" s="1"/>
      <c r="N7" s="1"/>
      <c r="O7" s="1"/>
      <c r="P7" s="1"/>
      <c r="Q7" s="1"/>
    </row>
    <row r="8" spans="1:86" x14ac:dyDescent="0.25">
      <c r="A8" s="1"/>
      <c r="B8" s="12"/>
      <c r="C8" s="1"/>
      <c r="D8" s="1"/>
      <c r="E8" s="35"/>
      <c r="F8" s="1"/>
      <c r="G8" s="1"/>
      <c r="H8" s="12"/>
      <c r="I8" s="1"/>
      <c r="J8" s="1"/>
      <c r="K8" s="1"/>
      <c r="L8" s="1"/>
      <c r="M8" s="1"/>
      <c r="N8" s="1"/>
      <c r="O8" s="1"/>
      <c r="P8" s="1"/>
      <c r="Q8" s="1"/>
    </row>
    <row r="9" spans="1:86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86" x14ac:dyDescent="0.25">
      <c r="A10" s="1"/>
      <c r="B10" s="10" t="s">
        <v>6</v>
      </c>
      <c r="C10" s="10">
        <v>2017</v>
      </c>
      <c r="D10" s="10">
        <v>2018</v>
      </c>
      <c r="E10" s="11">
        <v>2019</v>
      </c>
      <c r="F10" s="10">
        <v>2020</v>
      </c>
      <c r="G10" s="10">
        <v>2021</v>
      </c>
      <c r="H10" s="10">
        <v>2022</v>
      </c>
      <c r="I10" s="61">
        <v>2023</v>
      </c>
      <c r="J10" s="72">
        <v>2024</v>
      </c>
      <c r="K10" s="72">
        <v>2025</v>
      </c>
      <c r="L10" s="72">
        <v>2026</v>
      </c>
      <c r="M10" s="72">
        <v>2027</v>
      </c>
      <c r="N10" s="72">
        <v>2028</v>
      </c>
      <c r="O10" s="72">
        <v>2029</v>
      </c>
      <c r="P10" s="72">
        <v>2030</v>
      </c>
      <c r="Q10" s="72">
        <v>2031</v>
      </c>
      <c r="R10" s="72">
        <v>2032</v>
      </c>
      <c r="S10" s="10">
        <v>2033</v>
      </c>
      <c r="T10" s="10">
        <v>2034</v>
      </c>
      <c r="U10" s="10">
        <v>2035</v>
      </c>
      <c r="V10" s="10">
        <v>2036</v>
      </c>
      <c r="W10" s="10">
        <v>2037</v>
      </c>
      <c r="X10" s="10">
        <v>2038</v>
      </c>
      <c r="Y10" s="10">
        <v>2039</v>
      </c>
      <c r="Z10" s="10">
        <v>2040</v>
      </c>
      <c r="AA10" s="10">
        <v>2041</v>
      </c>
      <c r="AB10" s="10">
        <v>2042</v>
      </c>
      <c r="AC10" s="10">
        <v>2043</v>
      </c>
      <c r="AD10" s="10">
        <v>2044</v>
      </c>
      <c r="AE10" s="10">
        <v>2045</v>
      </c>
      <c r="AF10" s="10">
        <v>2046</v>
      </c>
      <c r="AG10" s="10">
        <v>2047</v>
      </c>
      <c r="AH10" s="10">
        <v>2048</v>
      </c>
      <c r="AI10" s="10">
        <v>2049</v>
      </c>
      <c r="AJ10" s="10">
        <v>2050</v>
      </c>
      <c r="AK10" s="10">
        <v>2051</v>
      </c>
      <c r="AL10" s="10">
        <v>2052</v>
      </c>
      <c r="AM10" s="10">
        <v>2053</v>
      </c>
      <c r="AN10" s="10">
        <v>2054</v>
      </c>
      <c r="AO10" s="10">
        <v>2055</v>
      </c>
      <c r="AP10" s="10">
        <v>2056</v>
      </c>
      <c r="AQ10" s="10">
        <v>2057</v>
      </c>
      <c r="AR10" s="10">
        <v>2058</v>
      </c>
      <c r="AS10" s="10">
        <v>2059</v>
      </c>
      <c r="AT10" s="10">
        <v>2060</v>
      </c>
      <c r="AU10" s="10">
        <v>2061</v>
      </c>
      <c r="AV10" s="10">
        <v>2062</v>
      </c>
      <c r="AW10" s="10">
        <v>2063</v>
      </c>
      <c r="AX10" s="10">
        <v>2064</v>
      </c>
      <c r="AY10" s="10">
        <v>2065</v>
      </c>
      <c r="AZ10" s="10">
        <v>2066</v>
      </c>
      <c r="BA10" s="10">
        <v>2067</v>
      </c>
      <c r="BB10" s="10">
        <v>2068</v>
      </c>
      <c r="BC10" s="10">
        <v>2069</v>
      </c>
      <c r="BD10" s="10">
        <v>2070</v>
      </c>
      <c r="BE10" s="10">
        <v>2071</v>
      </c>
      <c r="BF10" s="10">
        <v>2072</v>
      </c>
      <c r="BG10" s="10">
        <v>2073</v>
      </c>
      <c r="BH10" s="10">
        <v>2074</v>
      </c>
      <c r="BI10" s="10">
        <v>2075</v>
      </c>
      <c r="BJ10" s="10">
        <v>2076</v>
      </c>
      <c r="BK10" s="10">
        <v>2077</v>
      </c>
      <c r="BL10" s="10">
        <v>2078</v>
      </c>
      <c r="BM10" s="10">
        <v>2079</v>
      </c>
      <c r="BN10" s="10">
        <v>2080</v>
      </c>
      <c r="BO10" s="10">
        <v>2081</v>
      </c>
      <c r="BP10" s="10">
        <v>2082</v>
      </c>
      <c r="BQ10" s="10">
        <v>2083</v>
      </c>
      <c r="BR10" s="10">
        <v>2084</v>
      </c>
      <c r="BS10" s="10">
        <v>2085</v>
      </c>
      <c r="BT10" s="10">
        <v>2086</v>
      </c>
      <c r="BU10" s="10">
        <v>2087</v>
      </c>
      <c r="BV10" s="10">
        <v>2088</v>
      </c>
      <c r="BW10" s="10">
        <v>2089</v>
      </c>
      <c r="BX10" s="10">
        <v>2090</v>
      </c>
      <c r="BY10" s="10">
        <v>2091</v>
      </c>
      <c r="BZ10" s="10">
        <v>2092</v>
      </c>
      <c r="CA10" s="10">
        <v>2093</v>
      </c>
      <c r="CB10" s="10">
        <v>2094</v>
      </c>
      <c r="CC10" s="10">
        <v>2095</v>
      </c>
      <c r="CD10" s="10">
        <v>2096</v>
      </c>
      <c r="CE10" s="10">
        <v>2097</v>
      </c>
      <c r="CF10" s="10">
        <v>2098</v>
      </c>
      <c r="CG10" s="10">
        <v>2099</v>
      </c>
      <c r="CH10" s="10">
        <v>2100</v>
      </c>
    </row>
    <row r="11" spans="1:86" x14ac:dyDescent="0.25">
      <c r="A11" s="1"/>
      <c r="B11" s="1" t="s">
        <v>7</v>
      </c>
      <c r="C11" s="12">
        <v>229234</v>
      </c>
      <c r="D11" s="12">
        <v>265595</v>
      </c>
      <c r="E11" s="12">
        <v>260174</v>
      </c>
      <c r="F11" s="12">
        <v>274515</v>
      </c>
      <c r="G11" s="12">
        <v>365817</v>
      </c>
      <c r="H11" s="12">
        <v>394328</v>
      </c>
      <c r="I11" s="73">
        <f>H11*(1+I12)</f>
        <v>384830</v>
      </c>
      <c r="J11" s="74">
        <f t="shared" ref="J11:R11" si="1">I11*(1+J12)</f>
        <v>410720</v>
      </c>
      <c r="K11" s="74">
        <f t="shared" si="1"/>
        <v>439100</v>
      </c>
      <c r="L11" s="74">
        <f t="shared" si="1"/>
        <v>474330</v>
      </c>
      <c r="M11" s="74">
        <f t="shared" si="1"/>
        <v>513440</v>
      </c>
      <c r="N11" s="74">
        <f t="shared" si="1"/>
        <v>569230</v>
      </c>
      <c r="O11" s="74">
        <f t="shared" si="1"/>
        <v>622480</v>
      </c>
      <c r="P11" s="74">
        <f t="shared" si="1"/>
        <v>680960</v>
      </c>
      <c r="Q11" s="74">
        <f t="shared" si="1"/>
        <v>746610</v>
      </c>
      <c r="R11" s="74">
        <f t="shared" si="1"/>
        <v>820430</v>
      </c>
    </row>
    <row r="12" spans="1:86" x14ac:dyDescent="0.25">
      <c r="A12" s="1"/>
      <c r="B12" s="66" t="s">
        <v>8</v>
      </c>
      <c r="C12" s="67"/>
      <c r="D12" s="67">
        <f>(D11/C11)-1</f>
        <v>0.15861957650261305</v>
      </c>
      <c r="E12" s="67">
        <f t="shared" ref="E12:H12" si="2">(E11/D11)-1</f>
        <v>-2.04107758052674E-2</v>
      </c>
      <c r="F12" s="67">
        <f t="shared" si="2"/>
        <v>5.5120803769784787E-2</v>
      </c>
      <c r="G12" s="67">
        <f t="shared" si="2"/>
        <v>0.33259384733074704</v>
      </c>
      <c r="H12" s="67">
        <f t="shared" si="2"/>
        <v>7.7937876041846099E-2</v>
      </c>
      <c r="I12" s="85">
        <v>-2.4086547239861256E-2</v>
      </c>
      <c r="J12" s="86">
        <v>6.7276459735467586E-2</v>
      </c>
      <c r="K12" s="86">
        <v>6.9098169068952053E-2</v>
      </c>
      <c r="L12" s="86">
        <v>8.023229332726034E-2</v>
      </c>
      <c r="M12" s="86">
        <v>8.2453144435308712E-2</v>
      </c>
      <c r="N12" s="86">
        <v>0.10865923963851665</v>
      </c>
      <c r="O12" s="86">
        <v>9.3547423712734723E-2</v>
      </c>
      <c r="P12" s="86">
        <v>9.3946793471276102E-2</v>
      </c>
      <c r="Q12" s="86">
        <v>9.6408012218045069E-2</v>
      </c>
      <c r="R12" s="86">
        <v>9.8873575226691379E-2</v>
      </c>
    </row>
    <row r="13" spans="1:86" x14ac:dyDescent="0.25">
      <c r="A13" s="1"/>
      <c r="B13" s="6"/>
      <c r="C13" s="1"/>
      <c r="D13" s="1"/>
      <c r="E13" s="1"/>
      <c r="F13" s="1"/>
      <c r="G13" s="1"/>
      <c r="H13" s="1"/>
      <c r="I13" s="75"/>
      <c r="J13" s="76"/>
      <c r="K13" s="76"/>
      <c r="L13" s="76"/>
      <c r="M13" s="76"/>
      <c r="N13" s="76"/>
      <c r="O13" s="76"/>
      <c r="P13" s="76"/>
      <c r="Q13" s="76"/>
      <c r="R13" s="76"/>
    </row>
    <row r="14" spans="1:86" x14ac:dyDescent="0.25">
      <c r="A14" s="1"/>
      <c r="B14" s="1" t="s">
        <v>9</v>
      </c>
      <c r="C14" s="12">
        <v>141048</v>
      </c>
      <c r="D14" s="12">
        <v>163756</v>
      </c>
      <c r="E14" s="12">
        <v>161782</v>
      </c>
      <c r="F14" s="12">
        <v>169559</v>
      </c>
      <c r="G14" s="12">
        <v>212981</v>
      </c>
      <c r="H14" s="33">
        <v>223546</v>
      </c>
      <c r="I14" s="77">
        <f>I11-I16</f>
        <v>216928.671</v>
      </c>
      <c r="J14" s="78">
        <f t="shared" ref="J14:K14" si="3">J11-J16</f>
        <v>231728.22399999999</v>
      </c>
      <c r="K14" s="78">
        <f t="shared" si="3"/>
        <v>248794.06</v>
      </c>
      <c r="L14" s="78">
        <f t="shared" ref="L14:R14" si="4">L11-L16</f>
        <v>266573.45999999996</v>
      </c>
      <c r="M14" s="78">
        <f t="shared" si="4"/>
        <v>288296.56</v>
      </c>
      <c r="N14" s="78">
        <f t="shared" si="4"/>
        <v>317061.11</v>
      </c>
      <c r="O14" s="78">
        <f t="shared" si="4"/>
        <v>344853.92</v>
      </c>
      <c r="P14" s="78">
        <f t="shared" si="4"/>
        <v>375208.96000000002</v>
      </c>
      <c r="Q14" s="78">
        <f t="shared" si="4"/>
        <v>409142.27999999997</v>
      </c>
      <c r="R14" s="78">
        <f t="shared" si="4"/>
        <v>447954.77999999997</v>
      </c>
    </row>
    <row r="15" spans="1:86" x14ac:dyDescent="0.25">
      <c r="A15" s="1"/>
      <c r="B15" s="18"/>
      <c r="C15" s="18"/>
      <c r="D15" s="18"/>
      <c r="E15" s="18"/>
      <c r="F15" s="18"/>
      <c r="G15" s="18"/>
      <c r="H15" s="18"/>
      <c r="I15" s="75"/>
      <c r="J15" s="76"/>
      <c r="K15" s="76"/>
      <c r="L15" s="76"/>
      <c r="M15" s="76"/>
      <c r="N15" s="76"/>
      <c r="O15" s="76"/>
      <c r="P15" s="76"/>
      <c r="Q15" s="76"/>
      <c r="R15" s="76"/>
    </row>
    <row r="16" spans="1:86" x14ac:dyDescent="0.25">
      <c r="A16" s="1"/>
      <c r="B16" s="1" t="s">
        <v>10</v>
      </c>
      <c r="C16" s="12">
        <f t="shared" ref="C16:F16" si="5">C11-C14</f>
        <v>88186</v>
      </c>
      <c r="D16" s="12">
        <f t="shared" si="5"/>
        <v>101839</v>
      </c>
      <c r="E16" s="12">
        <f t="shared" si="5"/>
        <v>98392</v>
      </c>
      <c r="F16" s="12">
        <f t="shared" si="5"/>
        <v>104956</v>
      </c>
      <c r="G16" s="12">
        <f>G11-G14</f>
        <v>152836</v>
      </c>
      <c r="H16" s="12">
        <f>H11-H14</f>
        <v>170782</v>
      </c>
      <c r="I16" s="73">
        <f>I11*I17</f>
        <v>167901.329</v>
      </c>
      <c r="J16" s="74">
        <f t="shared" ref="J16:R16" si="6">J11*J17</f>
        <v>178991.77600000001</v>
      </c>
      <c r="K16" s="74">
        <f t="shared" si="6"/>
        <v>190305.94</v>
      </c>
      <c r="L16" s="74">
        <f t="shared" si="6"/>
        <v>207756.54</v>
      </c>
      <c r="M16" s="74">
        <f t="shared" si="6"/>
        <v>225143.44</v>
      </c>
      <c r="N16" s="74">
        <f t="shared" si="6"/>
        <v>252168.89</v>
      </c>
      <c r="O16" s="74">
        <f t="shared" si="6"/>
        <v>277626.08</v>
      </c>
      <c r="P16" s="74">
        <f t="shared" si="6"/>
        <v>305751.03999999998</v>
      </c>
      <c r="Q16" s="74">
        <f t="shared" si="6"/>
        <v>337467.72000000003</v>
      </c>
      <c r="R16" s="74">
        <f t="shared" si="6"/>
        <v>372475.22000000003</v>
      </c>
    </row>
    <row r="17" spans="1:18" x14ac:dyDescent="0.25">
      <c r="A17" s="1"/>
      <c r="B17" s="66" t="s">
        <v>11</v>
      </c>
      <c r="C17" s="67">
        <f>C16/C11</f>
        <v>0.38469860491899105</v>
      </c>
      <c r="D17" s="67">
        <f t="shared" ref="D17:H17" si="7">D16/D11</f>
        <v>0.38343718820007905</v>
      </c>
      <c r="E17" s="67">
        <f t="shared" si="7"/>
        <v>0.37817768109034722</v>
      </c>
      <c r="F17" s="67">
        <f t="shared" si="7"/>
        <v>0.38233247727810865</v>
      </c>
      <c r="G17" s="67">
        <f t="shared" si="7"/>
        <v>0.41779359625167778</v>
      </c>
      <c r="H17" s="67">
        <f t="shared" si="7"/>
        <v>0.43309630561360085</v>
      </c>
      <c r="I17" s="87">
        <v>0.43630000000000002</v>
      </c>
      <c r="J17" s="88">
        <v>0.43580000000000002</v>
      </c>
      <c r="K17" s="88">
        <v>0.43340000000000001</v>
      </c>
      <c r="L17" s="88">
        <v>0.438</v>
      </c>
      <c r="M17" s="88">
        <v>0.4385</v>
      </c>
      <c r="N17" s="88">
        <v>0.443</v>
      </c>
      <c r="O17" s="88">
        <v>0.44600000000000001</v>
      </c>
      <c r="P17" s="88">
        <v>0.44900000000000001</v>
      </c>
      <c r="Q17" s="88">
        <v>0.45200000000000001</v>
      </c>
      <c r="R17" s="88">
        <v>0.45400000000000001</v>
      </c>
    </row>
    <row r="18" spans="1:18" x14ac:dyDescent="0.25">
      <c r="A18" s="1"/>
      <c r="B18" s="6"/>
      <c r="C18" s="1"/>
      <c r="D18" s="1"/>
      <c r="E18" s="1"/>
      <c r="F18" s="1"/>
      <c r="G18" s="1"/>
      <c r="H18" s="1"/>
      <c r="I18" s="75"/>
      <c r="J18" s="76"/>
      <c r="K18" s="76"/>
      <c r="L18" s="76"/>
      <c r="M18" s="76"/>
      <c r="N18" s="76"/>
      <c r="O18" s="76"/>
      <c r="P18" s="76"/>
      <c r="Q18" s="76"/>
      <c r="R18" s="76"/>
    </row>
    <row r="19" spans="1:18" x14ac:dyDescent="0.25">
      <c r="A19" s="1"/>
      <c r="B19" s="1" t="s">
        <v>12</v>
      </c>
      <c r="C19" s="12">
        <v>11581</v>
      </c>
      <c r="D19" s="12">
        <v>14236</v>
      </c>
      <c r="E19" s="12">
        <v>16217</v>
      </c>
      <c r="F19" s="12">
        <v>18752</v>
      </c>
      <c r="G19" s="12">
        <v>21914</v>
      </c>
      <c r="H19" s="12">
        <v>26251</v>
      </c>
      <c r="I19" s="73">
        <f>I20*I11</f>
        <v>26938.100000000002</v>
      </c>
      <c r="J19" s="74">
        <f t="shared" ref="J19:R19" si="8">J20*J11</f>
        <v>28750.400000000001</v>
      </c>
      <c r="K19" s="74">
        <f t="shared" si="8"/>
        <v>30737.000000000004</v>
      </c>
      <c r="L19" s="74">
        <f t="shared" si="8"/>
        <v>33203.100000000006</v>
      </c>
      <c r="M19" s="74">
        <f t="shared" si="8"/>
        <v>35940.800000000003</v>
      </c>
      <c r="N19" s="74">
        <f t="shared" si="8"/>
        <v>39846.100000000006</v>
      </c>
      <c r="O19" s="74">
        <f t="shared" si="8"/>
        <v>43573.600000000006</v>
      </c>
      <c r="P19" s="74">
        <f t="shared" si="8"/>
        <v>47667.200000000004</v>
      </c>
      <c r="Q19" s="74">
        <f t="shared" si="8"/>
        <v>52262.700000000004</v>
      </c>
      <c r="R19" s="74">
        <f t="shared" si="8"/>
        <v>57430.100000000006</v>
      </c>
    </row>
    <row r="20" spans="1:18" x14ac:dyDescent="0.25">
      <c r="A20" s="1"/>
      <c r="B20" s="66" t="s">
        <v>18</v>
      </c>
      <c r="C20" s="67">
        <f>C19/C11</f>
        <v>5.0520428906706681E-2</v>
      </c>
      <c r="D20" s="67">
        <f t="shared" ref="D20:H20" si="9">D19/D11</f>
        <v>5.3600406634161032E-2</v>
      </c>
      <c r="E20" s="67">
        <f t="shared" si="9"/>
        <v>6.233136285716482E-2</v>
      </c>
      <c r="F20" s="67">
        <f t="shared" si="9"/>
        <v>6.8309564140393061E-2</v>
      </c>
      <c r="G20" s="67">
        <f t="shared" si="9"/>
        <v>5.9904269074427925E-2</v>
      </c>
      <c r="H20" s="67">
        <f t="shared" si="9"/>
        <v>6.657148363798665E-2</v>
      </c>
      <c r="I20" s="85">
        <v>7.0000000000000007E-2</v>
      </c>
      <c r="J20" s="86">
        <v>7.0000000000000007E-2</v>
      </c>
      <c r="K20" s="86">
        <v>7.0000000000000007E-2</v>
      </c>
      <c r="L20" s="86">
        <v>7.0000000000000007E-2</v>
      </c>
      <c r="M20" s="86">
        <v>7.0000000000000007E-2</v>
      </c>
      <c r="N20" s="86">
        <v>7.0000000000000007E-2</v>
      </c>
      <c r="O20" s="86">
        <v>7.0000000000000007E-2</v>
      </c>
      <c r="P20" s="86">
        <v>7.0000000000000007E-2</v>
      </c>
      <c r="Q20" s="86">
        <v>7.0000000000000007E-2</v>
      </c>
      <c r="R20" s="86">
        <v>7.0000000000000007E-2</v>
      </c>
    </row>
    <row r="21" spans="1:18" x14ac:dyDescent="0.25">
      <c r="A21" s="1"/>
      <c r="B21" s="14"/>
      <c r="C21" s="12"/>
      <c r="D21" s="12"/>
      <c r="E21" s="12"/>
      <c r="F21" s="12"/>
      <c r="G21" s="12"/>
      <c r="H21" s="12"/>
      <c r="I21" s="73"/>
      <c r="J21" s="74"/>
      <c r="K21" s="74"/>
      <c r="L21" s="74"/>
      <c r="M21" s="74"/>
      <c r="N21" s="74"/>
      <c r="O21" s="74"/>
      <c r="P21" s="74"/>
      <c r="Q21" s="74"/>
      <c r="R21" s="74"/>
    </row>
    <row r="22" spans="1:18" x14ac:dyDescent="0.25">
      <c r="A22" s="1"/>
      <c r="B22" s="1" t="s">
        <v>54</v>
      </c>
      <c r="C22" s="12">
        <v>15261</v>
      </c>
      <c r="D22" s="12">
        <v>16705</v>
      </c>
      <c r="E22" s="12">
        <v>18245</v>
      </c>
      <c r="F22" s="12">
        <v>19916</v>
      </c>
      <c r="G22" s="12">
        <v>21973</v>
      </c>
      <c r="H22" s="12">
        <v>25094</v>
      </c>
      <c r="I22" s="73">
        <f>I23*I11</f>
        <v>26938.100000000002</v>
      </c>
      <c r="J22" s="74">
        <f t="shared" ref="J22:R22" si="10">J23*J11</f>
        <v>28750.400000000001</v>
      </c>
      <c r="K22" s="74">
        <f t="shared" si="10"/>
        <v>30078.350000000002</v>
      </c>
      <c r="L22" s="74">
        <f t="shared" si="10"/>
        <v>33203.100000000006</v>
      </c>
      <c r="M22" s="74">
        <f t="shared" si="10"/>
        <v>35940.800000000003</v>
      </c>
      <c r="N22" s="74">
        <f t="shared" si="10"/>
        <v>41553.79</v>
      </c>
      <c r="O22" s="74">
        <f t="shared" si="10"/>
        <v>45441.039999999994</v>
      </c>
      <c r="P22" s="74">
        <f t="shared" si="10"/>
        <v>48688.639999999999</v>
      </c>
      <c r="Q22" s="74">
        <f t="shared" si="10"/>
        <v>53755.92</v>
      </c>
      <c r="R22" s="74">
        <f t="shared" si="10"/>
        <v>57840.314999999995</v>
      </c>
    </row>
    <row r="23" spans="1:18" x14ac:dyDescent="0.25">
      <c r="A23" s="1"/>
      <c r="B23" s="66" t="s">
        <v>18</v>
      </c>
      <c r="C23" s="67">
        <f>C22/C11</f>
        <v>6.6573893924984945E-2</v>
      </c>
      <c r="D23" s="67">
        <f t="shared" ref="D23:H23" si="11">D22/D11</f>
        <v>6.2896515371147807E-2</v>
      </c>
      <c r="E23" s="67">
        <f t="shared" si="11"/>
        <v>7.0126146348213125E-2</v>
      </c>
      <c r="F23" s="67">
        <f t="shared" si="11"/>
        <v>7.2549769593646979E-2</v>
      </c>
      <c r="G23" s="67">
        <f t="shared" si="11"/>
        <v>6.006555190163388E-2</v>
      </c>
      <c r="H23" s="67">
        <f t="shared" si="11"/>
        <v>6.3637378020328261E-2</v>
      </c>
      <c r="I23" s="85">
        <v>7.0000000000000007E-2</v>
      </c>
      <c r="J23" s="86">
        <v>7.0000000000000007E-2</v>
      </c>
      <c r="K23" s="86">
        <f t="shared" ref="K23:R23" si="12">J23-0.15%</f>
        <v>6.8500000000000005E-2</v>
      </c>
      <c r="L23" s="86">
        <v>7.0000000000000007E-2</v>
      </c>
      <c r="M23" s="86">
        <v>7.0000000000000007E-2</v>
      </c>
      <c r="N23" s="86">
        <v>7.2999999999999995E-2</v>
      </c>
      <c r="O23" s="86">
        <v>7.2999999999999995E-2</v>
      </c>
      <c r="P23" s="86">
        <f t="shared" si="12"/>
        <v>7.1499999999999994E-2</v>
      </c>
      <c r="Q23" s="86">
        <v>7.1999999999999995E-2</v>
      </c>
      <c r="R23" s="86">
        <f t="shared" si="12"/>
        <v>7.0499999999999993E-2</v>
      </c>
    </row>
    <row r="24" spans="1:18" x14ac:dyDescent="0.25">
      <c r="A24" s="1"/>
      <c r="B24" s="14"/>
      <c r="C24" s="12"/>
      <c r="D24" s="12"/>
      <c r="E24" s="12"/>
      <c r="F24" s="12"/>
      <c r="G24" s="12"/>
      <c r="H24" s="12"/>
      <c r="I24" s="73"/>
      <c r="J24" s="74"/>
      <c r="K24" s="74"/>
      <c r="L24" s="74"/>
      <c r="M24" s="74"/>
      <c r="N24" s="74"/>
      <c r="O24" s="74"/>
      <c r="P24" s="74"/>
      <c r="Q24" s="74"/>
      <c r="R24" s="74"/>
    </row>
    <row r="25" spans="1:18" x14ac:dyDescent="0.25">
      <c r="A25" s="1"/>
      <c r="B25" s="1" t="s">
        <v>15</v>
      </c>
      <c r="C25" s="12">
        <v>2745</v>
      </c>
      <c r="D25" s="12">
        <v>2005</v>
      </c>
      <c r="E25" s="12">
        <v>1807</v>
      </c>
      <c r="F25" s="12">
        <v>803</v>
      </c>
      <c r="G25" s="12">
        <v>258</v>
      </c>
      <c r="H25" s="12">
        <v>-334</v>
      </c>
      <c r="I25" s="81">
        <f t="shared" ref="I25:R25" si="13">I26*I11</f>
        <v>-1154.49</v>
      </c>
      <c r="J25" s="82">
        <f t="shared" si="13"/>
        <v>-1232.1600000000001</v>
      </c>
      <c r="K25" s="82">
        <f t="shared" si="13"/>
        <v>-1317.3</v>
      </c>
      <c r="L25" s="82">
        <f t="shared" si="13"/>
        <v>-2845.98</v>
      </c>
      <c r="M25" s="82">
        <f t="shared" si="13"/>
        <v>-2823.9199999999996</v>
      </c>
      <c r="N25" s="82">
        <f t="shared" si="13"/>
        <v>-5692.3</v>
      </c>
      <c r="O25" s="82">
        <f t="shared" si="13"/>
        <v>-4357.3599999999997</v>
      </c>
      <c r="P25" s="82">
        <f t="shared" si="13"/>
        <v>-4085.76</v>
      </c>
      <c r="Q25" s="82">
        <f t="shared" si="13"/>
        <v>-2986.44</v>
      </c>
      <c r="R25" s="82">
        <f t="shared" si="13"/>
        <v>-2461.29</v>
      </c>
    </row>
    <row r="26" spans="1:18" x14ac:dyDescent="0.25">
      <c r="A26" s="1"/>
      <c r="B26" s="66" t="s">
        <v>18</v>
      </c>
      <c r="C26" s="67">
        <f t="shared" ref="C26:H26" si="14">C25/C11</f>
        <v>1.1974663444340717E-2</v>
      </c>
      <c r="D26" s="67">
        <f t="shared" si="14"/>
        <v>7.5490878969860127E-3</v>
      </c>
      <c r="E26" s="67">
        <f t="shared" si="14"/>
        <v>6.9453519567673943E-3</v>
      </c>
      <c r="F26" s="67">
        <f t="shared" si="14"/>
        <v>2.9251589166347921E-3</v>
      </c>
      <c r="G26" s="67">
        <f t="shared" si="14"/>
        <v>7.0527066812094575E-4</v>
      </c>
      <c r="H26" s="67">
        <f t="shared" si="14"/>
        <v>-8.4701061045626988E-4</v>
      </c>
      <c r="I26" s="85">
        <v>-3.0000000000000001E-3</v>
      </c>
      <c r="J26" s="86">
        <v>-3.0000000000000001E-3</v>
      </c>
      <c r="K26" s="86">
        <v>-3.0000000000000001E-3</v>
      </c>
      <c r="L26" s="86">
        <v>-6.0000000000000001E-3</v>
      </c>
      <c r="M26" s="86">
        <v>-5.4999999999999997E-3</v>
      </c>
      <c r="N26" s="86">
        <v>-0.01</v>
      </c>
      <c r="O26" s="86">
        <v>-7.0000000000000001E-3</v>
      </c>
      <c r="P26" s="86">
        <v>-6.0000000000000001E-3</v>
      </c>
      <c r="Q26" s="86">
        <v>-4.0000000000000001E-3</v>
      </c>
      <c r="R26" s="86">
        <v>-3.0000000000000001E-3</v>
      </c>
    </row>
    <row r="27" spans="1:18" x14ac:dyDescent="0.25">
      <c r="A27" s="1"/>
      <c r="B27" s="1"/>
      <c r="C27" s="1"/>
      <c r="D27" s="1"/>
      <c r="E27" s="1"/>
      <c r="F27" s="12"/>
      <c r="G27" s="12"/>
      <c r="H27" s="12"/>
      <c r="I27" s="75"/>
      <c r="J27" s="76"/>
      <c r="K27" s="76"/>
      <c r="L27" s="76"/>
      <c r="M27" s="76"/>
      <c r="N27" s="76"/>
      <c r="O27" s="76"/>
      <c r="P27" s="76"/>
      <c r="Q27" s="76"/>
      <c r="R27" s="76"/>
    </row>
    <row r="28" spans="1:18" x14ac:dyDescent="0.25">
      <c r="A28" s="1"/>
      <c r="B28" s="1" t="s">
        <v>13</v>
      </c>
      <c r="C28" s="12">
        <f t="shared" ref="C28:G28" si="15">C19+C22</f>
        <v>26842</v>
      </c>
      <c r="D28" s="12">
        <f t="shared" si="15"/>
        <v>30941</v>
      </c>
      <c r="E28" s="12">
        <f t="shared" si="15"/>
        <v>34462</v>
      </c>
      <c r="F28" s="12">
        <f t="shared" si="15"/>
        <v>38668</v>
      </c>
      <c r="G28" s="12">
        <f t="shared" si="15"/>
        <v>43887</v>
      </c>
      <c r="H28" s="12">
        <f>H19+H22</f>
        <v>51345</v>
      </c>
      <c r="I28" s="81">
        <f>I19+I22</f>
        <v>53876.200000000004</v>
      </c>
      <c r="J28" s="82">
        <f t="shared" ref="J28:R28" si="16">J19+J22</f>
        <v>57500.800000000003</v>
      </c>
      <c r="K28" s="82">
        <f t="shared" si="16"/>
        <v>60815.350000000006</v>
      </c>
      <c r="L28" s="82">
        <f t="shared" si="16"/>
        <v>66406.200000000012</v>
      </c>
      <c r="M28" s="82">
        <f t="shared" si="16"/>
        <v>71881.600000000006</v>
      </c>
      <c r="N28" s="82">
        <f t="shared" si="16"/>
        <v>81399.890000000014</v>
      </c>
      <c r="O28" s="82">
        <f t="shared" si="16"/>
        <v>89014.64</v>
      </c>
      <c r="P28" s="82">
        <f t="shared" si="16"/>
        <v>96355.839999999997</v>
      </c>
      <c r="Q28" s="82">
        <f t="shared" si="16"/>
        <v>106018.62</v>
      </c>
      <c r="R28" s="82">
        <f t="shared" si="16"/>
        <v>115270.41500000001</v>
      </c>
    </row>
    <row r="29" spans="1:18" x14ac:dyDescent="0.25">
      <c r="A29" s="1"/>
      <c r="B29" s="66" t="s">
        <v>18</v>
      </c>
      <c r="C29" s="67">
        <f t="shared" ref="C29:R29" si="17">C28/C11</f>
        <v>0.11709432283169163</v>
      </c>
      <c r="D29" s="67">
        <f t="shared" si="17"/>
        <v>0.11649692200530884</v>
      </c>
      <c r="E29" s="67">
        <f t="shared" si="17"/>
        <v>0.13245750920537794</v>
      </c>
      <c r="F29" s="67">
        <f t="shared" si="17"/>
        <v>0.14085933373404003</v>
      </c>
      <c r="G29" s="67">
        <f t="shared" si="17"/>
        <v>0.11996982097606181</v>
      </c>
      <c r="H29" s="67">
        <f t="shared" si="17"/>
        <v>0.13020886165831491</v>
      </c>
      <c r="I29" s="85">
        <f t="shared" si="17"/>
        <v>0.14000000000000001</v>
      </c>
      <c r="J29" s="86">
        <f t="shared" si="17"/>
        <v>0.14000000000000001</v>
      </c>
      <c r="K29" s="86">
        <f t="shared" si="17"/>
        <v>0.13850000000000001</v>
      </c>
      <c r="L29" s="86">
        <f t="shared" si="17"/>
        <v>0.14000000000000001</v>
      </c>
      <c r="M29" s="86">
        <f t="shared" si="17"/>
        <v>0.14000000000000001</v>
      </c>
      <c r="N29" s="86">
        <f t="shared" si="17"/>
        <v>0.14300000000000002</v>
      </c>
      <c r="O29" s="86">
        <f t="shared" si="17"/>
        <v>0.14299999999999999</v>
      </c>
      <c r="P29" s="86">
        <f t="shared" si="17"/>
        <v>0.14149999999999999</v>
      </c>
      <c r="Q29" s="86">
        <f t="shared" si="17"/>
        <v>0.14199999999999999</v>
      </c>
      <c r="R29" s="86">
        <f t="shared" si="17"/>
        <v>0.14050000000000001</v>
      </c>
    </row>
    <row r="30" spans="1:18" x14ac:dyDescent="0.25">
      <c r="A30" s="1"/>
      <c r="B30" s="1"/>
      <c r="C30" s="15"/>
      <c r="D30" s="15"/>
      <c r="E30" s="15"/>
      <c r="F30" s="15"/>
      <c r="G30" s="15"/>
      <c r="H30" s="15"/>
      <c r="I30" s="79"/>
      <c r="J30" s="80"/>
      <c r="K30" s="80"/>
      <c r="L30" s="80"/>
      <c r="M30" s="80"/>
      <c r="N30" s="80"/>
      <c r="O30" s="80"/>
      <c r="P30" s="80"/>
      <c r="Q30" s="80"/>
      <c r="R30" s="80"/>
    </row>
    <row r="31" spans="1:18" x14ac:dyDescent="0.25">
      <c r="A31" s="1"/>
      <c r="B31" s="1" t="s">
        <v>14</v>
      </c>
      <c r="C31" s="12">
        <f t="shared" ref="C31:G31" si="18">C16-C19-C22</f>
        <v>61344</v>
      </c>
      <c r="D31" s="12">
        <f t="shared" si="18"/>
        <v>70898</v>
      </c>
      <c r="E31" s="12">
        <f t="shared" si="18"/>
        <v>63930</v>
      </c>
      <c r="F31" s="12">
        <f t="shared" si="18"/>
        <v>66288</v>
      </c>
      <c r="G31" s="12">
        <f t="shared" si="18"/>
        <v>108949</v>
      </c>
      <c r="H31" s="12">
        <f>H16-H28</f>
        <v>119437</v>
      </c>
      <c r="I31" s="81">
        <f t="shared" ref="I31:R31" si="19">I16-I28</f>
        <v>114025.12899999999</v>
      </c>
      <c r="J31" s="82">
        <f t="shared" si="19"/>
        <v>121490.97600000001</v>
      </c>
      <c r="K31" s="82">
        <f t="shared" si="19"/>
        <v>129490.59</v>
      </c>
      <c r="L31" s="82">
        <f t="shared" si="19"/>
        <v>141350.34</v>
      </c>
      <c r="M31" s="82">
        <f t="shared" si="19"/>
        <v>153261.84</v>
      </c>
      <c r="N31" s="82">
        <f t="shared" si="19"/>
        <v>170769</v>
      </c>
      <c r="O31" s="82">
        <f t="shared" si="19"/>
        <v>188611.44</v>
      </c>
      <c r="P31" s="82">
        <f t="shared" si="19"/>
        <v>209395.19999999998</v>
      </c>
      <c r="Q31" s="82">
        <f t="shared" si="19"/>
        <v>231449.10000000003</v>
      </c>
      <c r="R31" s="82">
        <f t="shared" si="19"/>
        <v>257204.80500000002</v>
      </c>
    </row>
    <row r="32" spans="1:18" x14ac:dyDescent="0.25">
      <c r="A32" s="1"/>
      <c r="B32" s="1"/>
      <c r="C32" s="20"/>
      <c r="D32" s="20"/>
      <c r="E32" s="20"/>
      <c r="F32" s="20"/>
      <c r="G32" s="20"/>
      <c r="H32" s="20"/>
      <c r="I32" s="75"/>
      <c r="J32" s="76"/>
      <c r="K32" s="76"/>
      <c r="L32" s="76"/>
      <c r="M32" s="76"/>
      <c r="N32" s="76"/>
      <c r="O32" s="76"/>
      <c r="P32" s="76"/>
      <c r="Q32" s="76"/>
      <c r="R32" s="76"/>
    </row>
    <row r="33" spans="1:86" x14ac:dyDescent="0.25">
      <c r="A33" s="1"/>
      <c r="B33" s="1" t="s">
        <v>16</v>
      </c>
      <c r="C33" s="12">
        <f t="shared" ref="C33:G33" si="20">C31+C25</f>
        <v>64089</v>
      </c>
      <c r="D33" s="12">
        <f t="shared" si="20"/>
        <v>72903</v>
      </c>
      <c r="E33" s="12">
        <f t="shared" si="20"/>
        <v>65737</v>
      </c>
      <c r="F33" s="12">
        <f t="shared" si="20"/>
        <v>67091</v>
      </c>
      <c r="G33" s="12">
        <f t="shared" si="20"/>
        <v>109207</v>
      </c>
      <c r="H33" s="12">
        <f>H31+H25</f>
        <v>119103</v>
      </c>
      <c r="I33" s="81">
        <f>I31+I25</f>
        <v>112870.63899999998</v>
      </c>
      <c r="J33" s="82">
        <f t="shared" ref="J33:R33" si="21">J31+J25</f>
        <v>120258.81600000001</v>
      </c>
      <c r="K33" s="82">
        <f t="shared" si="21"/>
        <v>128173.29</v>
      </c>
      <c r="L33" s="82">
        <f t="shared" si="21"/>
        <v>138504.35999999999</v>
      </c>
      <c r="M33" s="82">
        <f t="shared" si="21"/>
        <v>150437.91999999998</v>
      </c>
      <c r="N33" s="82">
        <f t="shared" si="21"/>
        <v>165076.70000000001</v>
      </c>
      <c r="O33" s="82">
        <f t="shared" si="21"/>
        <v>184254.08000000002</v>
      </c>
      <c r="P33" s="82">
        <f t="shared" si="21"/>
        <v>205309.43999999997</v>
      </c>
      <c r="Q33" s="82">
        <f t="shared" si="21"/>
        <v>228462.66000000003</v>
      </c>
      <c r="R33" s="82">
        <f t="shared" si="21"/>
        <v>254743.51500000001</v>
      </c>
    </row>
    <row r="34" spans="1:86" x14ac:dyDescent="0.25">
      <c r="A34" s="1"/>
      <c r="B34" s="1"/>
      <c r="C34" s="20"/>
      <c r="D34" s="20"/>
      <c r="E34" s="20"/>
      <c r="F34" s="20"/>
      <c r="G34" s="20"/>
      <c r="H34" s="20"/>
      <c r="I34" s="75"/>
      <c r="J34" s="76"/>
      <c r="K34" s="76"/>
      <c r="L34" s="76"/>
      <c r="M34" s="76"/>
      <c r="N34" s="76"/>
      <c r="O34" s="76"/>
      <c r="P34" s="76"/>
      <c r="Q34" s="76"/>
      <c r="R34" s="76"/>
    </row>
    <row r="35" spans="1:86" x14ac:dyDescent="0.25">
      <c r="A35" s="1"/>
      <c r="B35" s="1" t="s">
        <v>17</v>
      </c>
      <c r="C35" s="12">
        <f t="shared" ref="C35:G35" si="22">C31</f>
        <v>61344</v>
      </c>
      <c r="D35" s="12">
        <f t="shared" si="22"/>
        <v>70898</v>
      </c>
      <c r="E35" s="12">
        <f t="shared" si="22"/>
        <v>63930</v>
      </c>
      <c r="F35" s="12">
        <f>F31</f>
        <v>66288</v>
      </c>
      <c r="G35" s="12">
        <f t="shared" si="22"/>
        <v>108949</v>
      </c>
      <c r="H35" s="12">
        <f>H31</f>
        <v>119437</v>
      </c>
      <c r="I35" s="81">
        <f t="shared" ref="I35:R35" si="23">I31</f>
        <v>114025.12899999999</v>
      </c>
      <c r="J35" s="82">
        <f t="shared" si="23"/>
        <v>121490.97600000001</v>
      </c>
      <c r="K35" s="82">
        <f t="shared" si="23"/>
        <v>129490.59</v>
      </c>
      <c r="L35" s="82">
        <f t="shared" si="23"/>
        <v>141350.34</v>
      </c>
      <c r="M35" s="82">
        <f t="shared" si="23"/>
        <v>153261.84</v>
      </c>
      <c r="N35" s="82">
        <f t="shared" si="23"/>
        <v>170769</v>
      </c>
      <c r="O35" s="82">
        <f t="shared" si="23"/>
        <v>188611.44</v>
      </c>
      <c r="P35" s="82">
        <f t="shared" si="23"/>
        <v>209395.19999999998</v>
      </c>
      <c r="Q35" s="82">
        <f t="shared" si="23"/>
        <v>231449.10000000003</v>
      </c>
      <c r="R35" s="82">
        <f t="shared" si="23"/>
        <v>257204.80500000002</v>
      </c>
    </row>
    <row r="36" spans="1:86" x14ac:dyDescent="0.25">
      <c r="A36" s="1"/>
      <c r="B36" s="66" t="s">
        <v>18</v>
      </c>
      <c r="C36" s="67">
        <f t="shared" ref="C36:I36" si="24">C35/C11</f>
        <v>0.26760428208729942</v>
      </c>
      <c r="D36" s="67">
        <f t="shared" si="24"/>
        <v>0.26694026619477024</v>
      </c>
      <c r="E36" s="67">
        <f t="shared" si="24"/>
        <v>0.24572017188496928</v>
      </c>
      <c r="F36" s="67">
        <f t="shared" si="24"/>
        <v>0.24147314354406862</v>
      </c>
      <c r="G36" s="67">
        <f t="shared" si="24"/>
        <v>0.29782377527561593</v>
      </c>
      <c r="H36" s="67">
        <f t="shared" si="24"/>
        <v>0.30288744395528594</v>
      </c>
      <c r="I36" s="85">
        <f t="shared" si="24"/>
        <v>0.29629999999999995</v>
      </c>
      <c r="J36" s="86">
        <f t="shared" ref="J36:R36" si="25">J35/J11</f>
        <v>0.29580000000000001</v>
      </c>
      <c r="K36" s="86">
        <f t="shared" si="25"/>
        <v>0.2949</v>
      </c>
      <c r="L36" s="86">
        <f t="shared" si="25"/>
        <v>0.29799999999999999</v>
      </c>
      <c r="M36" s="86">
        <f t="shared" si="25"/>
        <v>0.29849999999999999</v>
      </c>
      <c r="N36" s="86">
        <f t="shared" si="25"/>
        <v>0.3</v>
      </c>
      <c r="O36" s="86">
        <f t="shared" si="25"/>
        <v>0.30299999999999999</v>
      </c>
      <c r="P36" s="86">
        <f t="shared" si="25"/>
        <v>0.3075</v>
      </c>
      <c r="Q36" s="86">
        <f t="shared" si="25"/>
        <v>0.31000000000000005</v>
      </c>
      <c r="R36" s="86">
        <f t="shared" si="25"/>
        <v>0.3135</v>
      </c>
    </row>
    <row r="37" spans="1:86" x14ac:dyDescent="0.25">
      <c r="A37" s="1"/>
      <c r="B37" s="14"/>
      <c r="C37" s="1"/>
      <c r="D37" s="1"/>
      <c r="F37" s="1"/>
      <c r="G37" s="1"/>
      <c r="H37" s="1"/>
      <c r="I37" s="75"/>
      <c r="J37" s="76"/>
      <c r="K37" s="76"/>
      <c r="L37" s="76"/>
      <c r="M37" s="76"/>
      <c r="N37" s="76"/>
      <c r="O37" s="76"/>
      <c r="P37" s="76"/>
      <c r="Q37" s="76"/>
      <c r="R37" s="76"/>
    </row>
    <row r="38" spans="1:86" x14ac:dyDescent="0.25">
      <c r="A38" s="1"/>
      <c r="B38" s="1" t="s">
        <v>19</v>
      </c>
      <c r="C38" s="12">
        <v>15738</v>
      </c>
      <c r="D38" s="12">
        <v>13372</v>
      </c>
      <c r="E38" s="21">
        <v>10481</v>
      </c>
      <c r="F38" s="12">
        <v>9680</v>
      </c>
      <c r="G38" s="12">
        <v>14527</v>
      </c>
      <c r="H38" s="19">
        <v>19300</v>
      </c>
      <c r="I38" s="73">
        <f>I39*I35</f>
        <v>18255.423152899995</v>
      </c>
      <c r="J38" s="74">
        <f t="shared" ref="J38:R38" si="26">J39*J35</f>
        <v>19632.9417216</v>
      </c>
      <c r="K38" s="74">
        <f t="shared" si="26"/>
        <v>20925.679344</v>
      </c>
      <c r="L38" s="74">
        <f t="shared" si="26"/>
        <v>22842.214943999999</v>
      </c>
      <c r="M38" s="74">
        <f t="shared" si="26"/>
        <v>24767.113343999998</v>
      </c>
      <c r="N38" s="74">
        <f t="shared" si="26"/>
        <v>27596.270399999998</v>
      </c>
      <c r="O38" s="74">
        <f t="shared" si="26"/>
        <v>30479.608703999998</v>
      </c>
      <c r="P38" s="74">
        <f t="shared" si="26"/>
        <v>33838.264319999995</v>
      </c>
      <c r="Q38" s="74">
        <f t="shared" si="26"/>
        <v>37402.174560000007</v>
      </c>
      <c r="R38" s="74">
        <f t="shared" si="26"/>
        <v>41564.296488</v>
      </c>
    </row>
    <row r="39" spans="1:86" x14ac:dyDescent="0.25">
      <c r="A39" s="1"/>
      <c r="B39" s="66" t="s">
        <v>20</v>
      </c>
      <c r="C39" s="68">
        <f>C38/C35</f>
        <v>0.25655320813771521</v>
      </c>
      <c r="D39" s="68">
        <f t="shared" ref="D39:G39" si="27">D38/D35</f>
        <v>0.18860898755959266</v>
      </c>
      <c r="E39" s="68">
        <f t="shared" si="27"/>
        <v>0.16394493977788205</v>
      </c>
      <c r="F39" s="68">
        <f>F38/F35</f>
        <v>0.14602944726043929</v>
      </c>
      <c r="G39" s="68">
        <f t="shared" si="27"/>
        <v>0.13333761668303518</v>
      </c>
      <c r="H39" s="68">
        <f>H38/H35</f>
        <v>0.16159146663094351</v>
      </c>
      <c r="I39" s="89">
        <v>0.16009999999999999</v>
      </c>
      <c r="J39" s="90">
        <v>0.16159999999999999</v>
      </c>
      <c r="K39" s="90">
        <v>0.16159999999999999</v>
      </c>
      <c r="L39" s="90">
        <v>0.16159999999999999</v>
      </c>
      <c r="M39" s="90">
        <v>0.16159999999999999</v>
      </c>
      <c r="N39" s="90">
        <v>0.16159999999999999</v>
      </c>
      <c r="O39" s="90">
        <v>0.16159999999999999</v>
      </c>
      <c r="P39" s="90">
        <v>0.16159999999999999</v>
      </c>
      <c r="Q39" s="90">
        <v>0.16159999999999999</v>
      </c>
      <c r="R39" s="90">
        <v>0.16159999999999999</v>
      </c>
    </row>
    <row r="40" spans="1:86" x14ac:dyDescent="0.25">
      <c r="A40" s="1"/>
      <c r="B40" s="1"/>
      <c r="C40" s="1"/>
      <c r="D40" s="1"/>
      <c r="E40" s="1"/>
      <c r="F40" s="1"/>
      <c r="G40" s="1"/>
      <c r="H40" s="1"/>
      <c r="I40" s="75"/>
      <c r="J40" s="76"/>
      <c r="K40" s="76"/>
      <c r="L40" s="76"/>
      <c r="M40" s="76"/>
      <c r="N40" s="76"/>
      <c r="O40" s="76"/>
      <c r="P40" s="76"/>
      <c r="Q40" s="76"/>
      <c r="R40" s="76"/>
    </row>
    <row r="41" spans="1:86" x14ac:dyDescent="0.25">
      <c r="A41" s="1"/>
      <c r="B41" s="10" t="s">
        <v>21</v>
      </c>
      <c r="C41" s="10">
        <v>2017</v>
      </c>
      <c r="D41" s="10">
        <f>C41+1</f>
        <v>2018</v>
      </c>
      <c r="E41" s="10">
        <f>D41+1</f>
        <v>2019</v>
      </c>
      <c r="F41" s="10">
        <v>2020</v>
      </c>
      <c r="G41" s="10">
        <v>2021</v>
      </c>
      <c r="H41" s="10">
        <v>2022</v>
      </c>
      <c r="I41" s="83">
        <v>2023</v>
      </c>
      <c r="J41" s="84">
        <v>2024</v>
      </c>
      <c r="K41" s="84">
        <v>2025</v>
      </c>
      <c r="L41" s="84">
        <v>2026</v>
      </c>
      <c r="M41" s="84">
        <v>2027</v>
      </c>
      <c r="N41" s="84">
        <v>2028</v>
      </c>
      <c r="O41" s="84">
        <v>2029</v>
      </c>
      <c r="P41" s="84">
        <v>2030</v>
      </c>
      <c r="Q41" s="84">
        <v>2031</v>
      </c>
      <c r="R41" s="84">
        <v>2032</v>
      </c>
      <c r="S41" s="10">
        <v>2033</v>
      </c>
      <c r="T41" s="10">
        <v>2034</v>
      </c>
      <c r="U41" s="10">
        <v>2035</v>
      </c>
      <c r="V41" s="10">
        <v>2036</v>
      </c>
      <c r="W41" s="10">
        <v>2037</v>
      </c>
      <c r="X41" s="10">
        <v>2038</v>
      </c>
      <c r="Y41" s="10">
        <v>2039</v>
      </c>
      <c r="Z41" s="10">
        <v>2040</v>
      </c>
      <c r="AA41" s="10">
        <v>2041</v>
      </c>
      <c r="AB41" s="10">
        <v>2042</v>
      </c>
      <c r="AC41" s="10">
        <v>2043</v>
      </c>
      <c r="AD41" s="10">
        <v>2044</v>
      </c>
      <c r="AE41" s="10">
        <v>2045</v>
      </c>
      <c r="AF41" s="10">
        <v>2046</v>
      </c>
      <c r="AG41" s="10">
        <v>2047</v>
      </c>
      <c r="AH41" s="10">
        <v>2048</v>
      </c>
      <c r="AI41" s="10">
        <v>2049</v>
      </c>
      <c r="AJ41" s="10">
        <v>2050</v>
      </c>
      <c r="AK41" s="10">
        <v>2051</v>
      </c>
      <c r="AL41" s="10">
        <v>2052</v>
      </c>
      <c r="AM41" s="10">
        <v>2053</v>
      </c>
      <c r="AN41" s="10">
        <v>2054</v>
      </c>
      <c r="AO41" s="10">
        <v>2055</v>
      </c>
      <c r="AP41" s="10">
        <v>2056</v>
      </c>
      <c r="AQ41" s="10">
        <v>2057</v>
      </c>
      <c r="AR41" s="10">
        <v>2058</v>
      </c>
      <c r="AS41" s="10">
        <v>2059</v>
      </c>
      <c r="AT41" s="10">
        <v>2060</v>
      </c>
      <c r="AU41" s="10">
        <v>2061</v>
      </c>
      <c r="AV41" s="10">
        <v>2062</v>
      </c>
      <c r="AW41" s="10">
        <v>2063</v>
      </c>
      <c r="AX41" s="10">
        <v>2064</v>
      </c>
      <c r="AY41" s="10">
        <v>2065</v>
      </c>
      <c r="AZ41" s="10">
        <v>2066</v>
      </c>
      <c r="BA41" s="10">
        <v>2067</v>
      </c>
      <c r="BB41" s="10">
        <v>2068</v>
      </c>
      <c r="BC41" s="10">
        <v>2069</v>
      </c>
      <c r="BD41" s="10">
        <v>2070</v>
      </c>
      <c r="BE41" s="10">
        <v>2071</v>
      </c>
      <c r="BF41" s="10">
        <v>2072</v>
      </c>
      <c r="BG41" s="10">
        <v>2073</v>
      </c>
      <c r="BH41" s="10">
        <v>2074</v>
      </c>
      <c r="BI41" s="10">
        <v>2075</v>
      </c>
      <c r="BJ41" s="10">
        <v>2076</v>
      </c>
      <c r="BK41" s="10">
        <v>2077</v>
      </c>
      <c r="BL41" s="10">
        <v>2078</v>
      </c>
      <c r="BM41" s="10">
        <v>2079</v>
      </c>
      <c r="BN41" s="10">
        <v>2080</v>
      </c>
      <c r="BO41" s="10">
        <v>2081</v>
      </c>
      <c r="BP41" s="10">
        <v>2082</v>
      </c>
      <c r="BQ41" s="10">
        <v>2083</v>
      </c>
      <c r="BR41" s="10">
        <v>2084</v>
      </c>
      <c r="BS41" s="10">
        <v>2085</v>
      </c>
      <c r="BT41" s="10">
        <v>2086</v>
      </c>
      <c r="BU41" s="10">
        <v>2087</v>
      </c>
      <c r="BV41" s="10">
        <v>2088</v>
      </c>
      <c r="BW41" s="10">
        <v>2089</v>
      </c>
      <c r="BX41" s="10">
        <v>2090</v>
      </c>
      <c r="BY41" s="10">
        <v>2091</v>
      </c>
      <c r="BZ41" s="10">
        <v>2092</v>
      </c>
      <c r="CA41" s="10">
        <v>2093</v>
      </c>
      <c r="CB41" s="10">
        <v>2094</v>
      </c>
      <c r="CC41" s="10">
        <v>2095</v>
      </c>
      <c r="CD41" s="10">
        <v>2096</v>
      </c>
      <c r="CE41" s="10">
        <v>2097</v>
      </c>
      <c r="CF41" s="10">
        <v>2098</v>
      </c>
      <c r="CG41" s="10">
        <v>2099</v>
      </c>
      <c r="CH41" s="10">
        <v>2100</v>
      </c>
    </row>
    <row r="42" spans="1:86" x14ac:dyDescent="0.25">
      <c r="A42" s="1"/>
      <c r="B42" s="1" t="s">
        <v>22</v>
      </c>
      <c r="C42" s="12">
        <v>12547</v>
      </c>
      <c r="D42" s="12">
        <v>10903</v>
      </c>
      <c r="E42" s="21">
        <v>10157</v>
      </c>
      <c r="F42" s="12">
        <v>11056</v>
      </c>
      <c r="G42" s="12">
        <v>11284</v>
      </c>
      <c r="H42" s="12">
        <v>11104</v>
      </c>
      <c r="I42" s="73">
        <f>I43*I11</f>
        <v>12000</v>
      </c>
      <c r="J42" s="74">
        <f t="shared" ref="J42:R42" si="28">J43*J11</f>
        <v>12000</v>
      </c>
      <c r="K42" s="74">
        <f t="shared" si="28"/>
        <v>12740</v>
      </c>
      <c r="L42" s="74">
        <f t="shared" si="28"/>
        <v>13510</v>
      </c>
      <c r="M42" s="74">
        <f t="shared" si="28"/>
        <v>14150</v>
      </c>
      <c r="N42" s="74">
        <f t="shared" si="28"/>
        <v>13510</v>
      </c>
      <c r="O42" s="74">
        <f t="shared" si="28"/>
        <v>13920</v>
      </c>
      <c r="P42" s="74">
        <f t="shared" si="28"/>
        <v>14330</v>
      </c>
      <c r="Q42" s="74">
        <f t="shared" si="28"/>
        <v>14759.999999999998</v>
      </c>
      <c r="R42" s="74">
        <f t="shared" si="28"/>
        <v>15209.999999999998</v>
      </c>
    </row>
    <row r="43" spans="1:86" x14ac:dyDescent="0.25">
      <c r="A43" s="1"/>
      <c r="B43" s="66" t="s">
        <v>18</v>
      </c>
      <c r="C43" s="67">
        <f t="shared" ref="C43:R43" si="29">C42/C11</f>
        <v>5.4734463474004728E-2</v>
      </c>
      <c r="D43" s="67">
        <f t="shared" si="29"/>
        <v>4.1051224608897006E-2</v>
      </c>
      <c r="E43" s="67">
        <f t="shared" si="29"/>
        <v>3.9039258342493867E-2</v>
      </c>
      <c r="F43" s="67">
        <f t="shared" si="29"/>
        <v>4.0274666229532081E-2</v>
      </c>
      <c r="G43" s="67">
        <f t="shared" si="29"/>
        <v>3.084602410494865E-2</v>
      </c>
      <c r="H43" s="67">
        <f t="shared" si="29"/>
        <v>2.8159298857803657E-2</v>
      </c>
      <c r="I43" s="85">
        <v>3.1182600109139102E-2</v>
      </c>
      <c r="J43" s="86">
        <v>2.92169848071679E-2</v>
      </c>
      <c r="K43" s="86">
        <v>2.9013892051924391E-2</v>
      </c>
      <c r="L43" s="86">
        <v>2.8482280269011027E-2</v>
      </c>
      <c r="M43" s="86">
        <v>2.7559208476160797E-2</v>
      </c>
      <c r="N43" s="86">
        <v>2.3733815856507915E-2</v>
      </c>
      <c r="O43" s="86">
        <v>2.2362164246240844E-2</v>
      </c>
      <c r="P43" s="86">
        <v>2.1043820488721804E-2</v>
      </c>
      <c r="Q43" s="86">
        <v>1.9769357495881382E-2</v>
      </c>
      <c r="R43" s="86">
        <v>1.8539058786246235E-2</v>
      </c>
    </row>
    <row r="44" spans="1:86" x14ac:dyDescent="0.25">
      <c r="A44" s="1"/>
      <c r="B44" s="1"/>
      <c r="C44" s="1"/>
      <c r="D44" s="1"/>
      <c r="F44" s="1"/>
      <c r="G44" s="1"/>
      <c r="H44" s="1"/>
      <c r="I44" s="75"/>
      <c r="J44" s="76"/>
      <c r="K44" s="76"/>
      <c r="L44" s="76"/>
      <c r="M44" s="76"/>
      <c r="N44" s="76"/>
      <c r="O44" s="76"/>
      <c r="P44" s="76"/>
      <c r="Q44" s="76"/>
      <c r="R44" s="76"/>
    </row>
    <row r="45" spans="1:86" x14ac:dyDescent="0.25">
      <c r="A45" s="1"/>
      <c r="B45" s="1" t="s">
        <v>23</v>
      </c>
      <c r="C45" s="12">
        <v>-10495</v>
      </c>
      <c r="D45" s="12">
        <v>-13313</v>
      </c>
      <c r="E45" s="21">
        <v>-12451</v>
      </c>
      <c r="F45" s="12">
        <v>-7309</v>
      </c>
      <c r="G45" s="12">
        <v>-11085</v>
      </c>
      <c r="H45" s="12">
        <v>-10708</v>
      </c>
      <c r="I45" s="73">
        <f>I46*I11</f>
        <v>-12040.000000000002</v>
      </c>
      <c r="J45" s="74">
        <f t="shared" ref="J45:R45" si="30">J46*J11</f>
        <v>-12490</v>
      </c>
      <c r="K45" s="74">
        <f t="shared" si="30"/>
        <v>-12990</v>
      </c>
      <c r="L45" s="74">
        <f t="shared" si="30"/>
        <v>-13400</v>
      </c>
      <c r="M45" s="74">
        <f t="shared" si="30"/>
        <v>-13910</v>
      </c>
      <c r="N45" s="74">
        <f t="shared" si="30"/>
        <v>-12770</v>
      </c>
      <c r="O45" s="74">
        <f t="shared" si="30"/>
        <v>-12890</v>
      </c>
      <c r="P45" s="74">
        <f t="shared" si="30"/>
        <v>-13020</v>
      </c>
      <c r="Q45" s="74">
        <f t="shared" si="30"/>
        <v>-13150</v>
      </c>
      <c r="R45" s="74">
        <f t="shared" si="30"/>
        <v>-13289.999999999998</v>
      </c>
    </row>
    <row r="46" spans="1:86" x14ac:dyDescent="0.25">
      <c r="A46" s="1"/>
      <c r="B46" s="66" t="s">
        <v>18</v>
      </c>
      <c r="C46" s="67">
        <f t="shared" ref="C46:R46" si="31">C45/C11</f>
        <v>-4.578291178446478E-2</v>
      </c>
      <c r="D46" s="67">
        <f t="shared" si="31"/>
        <v>-5.0125190609762983E-2</v>
      </c>
      <c r="E46" s="67">
        <f t="shared" si="31"/>
        <v>-4.7856434539961717E-2</v>
      </c>
      <c r="F46" s="67">
        <f t="shared" si="31"/>
        <v>-2.6625138881299748E-2</v>
      </c>
      <c r="G46" s="67">
        <f t="shared" si="31"/>
        <v>-3.0302036264033657E-2</v>
      </c>
      <c r="H46" s="67">
        <f t="shared" si="31"/>
        <v>-2.7155058732831552E-2</v>
      </c>
      <c r="I46" s="85">
        <v>-3.12865421095029E-2</v>
      </c>
      <c r="J46" s="86">
        <v>-3.0410011686793924E-2</v>
      </c>
      <c r="K46" s="86">
        <v>-2.9583238442268275E-2</v>
      </c>
      <c r="L46" s="86">
        <v>-2.8250374212046465E-2</v>
      </c>
      <c r="M46" s="86">
        <v>-2.7091773138049238E-2</v>
      </c>
      <c r="N46" s="86">
        <v>-2.2433814099748782E-2</v>
      </c>
      <c r="O46" s="86">
        <v>-2.0707492610204343E-2</v>
      </c>
      <c r="P46" s="86">
        <v>-1.9120065789473683E-2</v>
      </c>
      <c r="Q46" s="86">
        <v>-1.7612943839487818E-2</v>
      </c>
      <c r="R46" s="86">
        <v>-1.6198822568653022E-2</v>
      </c>
    </row>
    <row r="47" spans="1:86" x14ac:dyDescent="0.25">
      <c r="A47" s="1"/>
      <c r="B47" s="1"/>
      <c r="C47" s="1"/>
      <c r="D47" s="1"/>
      <c r="F47" s="1"/>
      <c r="G47" s="1"/>
      <c r="H47" s="1"/>
      <c r="I47" s="75"/>
      <c r="J47" s="76"/>
      <c r="K47" s="76"/>
      <c r="L47" s="76"/>
      <c r="M47" s="76"/>
      <c r="N47" s="76"/>
      <c r="O47" s="76"/>
      <c r="P47" s="76"/>
      <c r="Q47" s="76"/>
      <c r="R47" s="76"/>
    </row>
    <row r="48" spans="1:86" x14ac:dyDescent="0.25">
      <c r="A48" s="1"/>
      <c r="B48" s="1" t="s">
        <v>24</v>
      </c>
      <c r="C48" s="1">
        <v>-3488</v>
      </c>
      <c r="D48" s="1">
        <v>34694</v>
      </c>
      <c r="E48" s="2">
        <v>-4923</v>
      </c>
      <c r="F48" s="34">
        <v>5690</v>
      </c>
      <c r="G48" s="34">
        <v>-4911</v>
      </c>
      <c r="H48" s="34">
        <v>1200</v>
      </c>
      <c r="I48" s="73">
        <f t="shared" ref="I48:R48" si="32">I49*I11</f>
        <v>-3848.3</v>
      </c>
      <c r="J48" s="74">
        <f t="shared" si="32"/>
        <v>-4107.2</v>
      </c>
      <c r="K48" s="74">
        <f t="shared" si="32"/>
        <v>2195.5</v>
      </c>
      <c r="L48" s="74">
        <f t="shared" si="32"/>
        <v>2371.65</v>
      </c>
      <c r="M48" s="74">
        <f t="shared" si="32"/>
        <v>2567.2000000000003</v>
      </c>
      <c r="N48" s="74">
        <f t="shared" si="32"/>
        <v>5692.3</v>
      </c>
      <c r="O48" s="74">
        <f t="shared" si="32"/>
        <v>9337.1999999999989</v>
      </c>
      <c r="P48" s="74">
        <f t="shared" si="32"/>
        <v>10214.4</v>
      </c>
      <c r="Q48" s="74">
        <f t="shared" si="32"/>
        <v>11199.15</v>
      </c>
      <c r="R48" s="74">
        <f t="shared" si="32"/>
        <v>12306.449999999999</v>
      </c>
    </row>
    <row r="49" spans="1:86" x14ac:dyDescent="0.25">
      <c r="A49" s="1"/>
      <c r="B49" s="66" t="s">
        <v>18</v>
      </c>
      <c r="C49" s="67">
        <f t="shared" ref="C49:H49" si="33">C48/C11</f>
        <v>-1.5215892930368095E-2</v>
      </c>
      <c r="D49" s="67">
        <f t="shared" si="33"/>
        <v>0.13062745910126319</v>
      </c>
      <c r="E49" s="67">
        <f t="shared" si="33"/>
        <v>-1.8921952231967836E-2</v>
      </c>
      <c r="F49" s="67">
        <f t="shared" si="33"/>
        <v>2.0727464801559112E-2</v>
      </c>
      <c r="G49" s="67">
        <f t="shared" si="33"/>
        <v>-1.3424745159464978E-2</v>
      </c>
      <c r="H49" s="67">
        <f t="shared" si="33"/>
        <v>3.0431518938548621E-3</v>
      </c>
      <c r="I49" s="91">
        <v>-0.01</v>
      </c>
      <c r="J49" s="92">
        <v>-0.01</v>
      </c>
      <c r="K49" s="92">
        <v>5.0000000000000001E-3</v>
      </c>
      <c r="L49" s="92">
        <v>5.0000000000000001E-3</v>
      </c>
      <c r="M49" s="92">
        <v>5.0000000000000001E-3</v>
      </c>
      <c r="N49" s="92">
        <v>0.01</v>
      </c>
      <c r="O49" s="92">
        <v>1.4999999999999999E-2</v>
      </c>
      <c r="P49" s="92">
        <v>1.4999999999999999E-2</v>
      </c>
      <c r="Q49" s="92">
        <v>1.4999999999999999E-2</v>
      </c>
      <c r="R49" s="92">
        <v>1.4999999999999999E-2</v>
      </c>
    </row>
    <row r="50" spans="1:86" x14ac:dyDescent="0.25">
      <c r="A50" s="1"/>
      <c r="B50" s="1"/>
      <c r="C50" s="1"/>
      <c r="D50" s="1"/>
      <c r="E50" s="1"/>
      <c r="F50" s="1"/>
      <c r="G50" s="1"/>
      <c r="H50" s="1"/>
      <c r="I50" s="75"/>
      <c r="J50" s="76"/>
      <c r="K50" s="76"/>
      <c r="L50" s="76"/>
      <c r="M50" s="76"/>
      <c r="N50" s="76"/>
      <c r="O50" s="76"/>
      <c r="P50" s="76"/>
      <c r="Q50" s="76"/>
      <c r="R50" s="76"/>
    </row>
    <row r="51" spans="1:86" x14ac:dyDescent="0.25">
      <c r="A51" s="1"/>
      <c r="B51" s="10" t="s">
        <v>25</v>
      </c>
      <c r="C51" s="12">
        <f t="shared" ref="C51:G51" si="34">C35-C38</f>
        <v>45606</v>
      </c>
      <c r="D51" s="12">
        <f t="shared" si="34"/>
        <v>57526</v>
      </c>
      <c r="E51" s="12">
        <f t="shared" si="34"/>
        <v>53449</v>
      </c>
      <c r="F51" s="12">
        <f t="shared" si="34"/>
        <v>56608</v>
      </c>
      <c r="G51" s="12">
        <f t="shared" si="34"/>
        <v>94422</v>
      </c>
      <c r="H51" s="12">
        <f>H35-H38</f>
        <v>100137</v>
      </c>
      <c r="I51" s="81">
        <f t="shared" ref="I51:R51" si="35">I35-I38</f>
        <v>95769.705847099991</v>
      </c>
      <c r="J51" s="82">
        <f t="shared" si="35"/>
        <v>101858.03427840001</v>
      </c>
      <c r="K51" s="82">
        <f t="shared" si="35"/>
        <v>108564.91065599999</v>
      </c>
      <c r="L51" s="82">
        <f t="shared" si="35"/>
        <v>118508.12505599999</v>
      </c>
      <c r="M51" s="82">
        <f t="shared" si="35"/>
        <v>128494.726656</v>
      </c>
      <c r="N51" s="82">
        <f t="shared" si="35"/>
        <v>143172.72959999999</v>
      </c>
      <c r="O51" s="82">
        <f t="shared" si="35"/>
        <v>158131.83129599999</v>
      </c>
      <c r="P51" s="82">
        <f t="shared" si="35"/>
        <v>175556.93568</v>
      </c>
      <c r="Q51" s="82">
        <f t="shared" si="35"/>
        <v>194046.92544000002</v>
      </c>
      <c r="R51" s="82">
        <f t="shared" si="35"/>
        <v>215640.50851200003</v>
      </c>
    </row>
    <row r="52" spans="1:86" x14ac:dyDescent="0.25">
      <c r="A52" s="1"/>
      <c r="B52" s="10" t="s">
        <v>26</v>
      </c>
      <c r="C52" s="12">
        <f t="shared" ref="C52:G52" si="36">C33-C38</f>
        <v>48351</v>
      </c>
      <c r="D52" s="12">
        <f t="shared" si="36"/>
        <v>59531</v>
      </c>
      <c r="E52" s="12">
        <f t="shared" si="36"/>
        <v>55256</v>
      </c>
      <c r="F52" s="12">
        <f t="shared" si="36"/>
        <v>57411</v>
      </c>
      <c r="G52" s="12">
        <f t="shared" si="36"/>
        <v>94680</v>
      </c>
      <c r="H52" s="12">
        <f>H33-H38</f>
        <v>99803</v>
      </c>
      <c r="I52" s="81">
        <f>I33-I38</f>
        <v>94615.215847099986</v>
      </c>
      <c r="J52" s="82">
        <f t="shared" ref="J52:R52" si="37">J33-J38</f>
        <v>100625.87427840001</v>
      </c>
      <c r="K52" s="82">
        <f t="shared" si="37"/>
        <v>107247.61065599999</v>
      </c>
      <c r="L52" s="82">
        <f t="shared" si="37"/>
        <v>115662.14505599998</v>
      </c>
      <c r="M52" s="82">
        <f t="shared" si="37"/>
        <v>125670.80665599999</v>
      </c>
      <c r="N52" s="82">
        <f t="shared" si="37"/>
        <v>137480.4296</v>
      </c>
      <c r="O52" s="82">
        <f t="shared" si="37"/>
        <v>153774.471296</v>
      </c>
      <c r="P52" s="82">
        <f t="shared" si="37"/>
        <v>171471.17567999999</v>
      </c>
      <c r="Q52" s="82">
        <f t="shared" si="37"/>
        <v>191060.48544000002</v>
      </c>
      <c r="R52" s="82">
        <f t="shared" si="37"/>
        <v>213179.21851200002</v>
      </c>
      <c r="S52" s="59">
        <f>R52*(1+$E$6)</f>
        <v>221706.38725248002</v>
      </c>
      <c r="T52" s="59">
        <f t="shared" ref="T52:CE52" si="38">S52*(1+$E$6)</f>
        <v>230574.64274257922</v>
      </c>
      <c r="U52" s="59">
        <f t="shared" si="38"/>
        <v>239797.6284522824</v>
      </c>
      <c r="V52" s="59">
        <f t="shared" si="38"/>
        <v>249389.5335903737</v>
      </c>
      <c r="W52" s="59">
        <f t="shared" si="38"/>
        <v>259365.11493398866</v>
      </c>
      <c r="X52" s="59">
        <f t="shared" si="38"/>
        <v>269739.71953134821</v>
      </c>
      <c r="Y52" s="59">
        <f t="shared" si="38"/>
        <v>280529.30831260217</v>
      </c>
      <c r="Z52" s="59">
        <f t="shared" si="38"/>
        <v>291750.48064510629</v>
      </c>
      <c r="AA52" s="59">
        <f t="shared" si="38"/>
        <v>303420.49987091054</v>
      </c>
      <c r="AB52" s="59">
        <f t="shared" si="38"/>
        <v>315557.31986574695</v>
      </c>
      <c r="AC52" s="59">
        <f t="shared" si="38"/>
        <v>328179.61266037682</v>
      </c>
      <c r="AD52" s="59">
        <f t="shared" si="38"/>
        <v>341306.79716679192</v>
      </c>
      <c r="AE52" s="59">
        <f t="shared" si="38"/>
        <v>354959.06905346358</v>
      </c>
      <c r="AF52" s="59">
        <f t="shared" si="38"/>
        <v>369157.43181560212</v>
      </c>
      <c r="AG52" s="59">
        <f t="shared" si="38"/>
        <v>383923.72908822622</v>
      </c>
      <c r="AH52" s="59">
        <f t="shared" si="38"/>
        <v>399280.67825175531</v>
      </c>
      <c r="AI52" s="59">
        <f t="shared" si="38"/>
        <v>415251.90538182552</v>
      </c>
      <c r="AJ52" s="59">
        <f t="shared" si="38"/>
        <v>431861.98159709858</v>
      </c>
      <c r="AK52" s="59">
        <f t="shared" si="38"/>
        <v>449136.46086098254</v>
      </c>
      <c r="AL52" s="59">
        <f t="shared" si="38"/>
        <v>467101.91929542186</v>
      </c>
      <c r="AM52" s="59">
        <f t="shared" si="38"/>
        <v>485785.99606723874</v>
      </c>
      <c r="AN52" s="59">
        <f t="shared" si="38"/>
        <v>505217.43590992829</v>
      </c>
      <c r="AO52" s="59">
        <f t="shared" si="38"/>
        <v>525426.13334632549</v>
      </c>
      <c r="AP52" s="59">
        <f t="shared" si="38"/>
        <v>546443.17868017848</v>
      </c>
      <c r="AQ52" s="59">
        <f t="shared" si="38"/>
        <v>568300.90582738561</v>
      </c>
      <c r="AR52" s="59">
        <f t="shared" si="38"/>
        <v>591032.94206048106</v>
      </c>
      <c r="AS52" s="59">
        <f t="shared" si="38"/>
        <v>614674.25974290038</v>
      </c>
      <c r="AT52" s="59">
        <f t="shared" si="38"/>
        <v>639261.23013261647</v>
      </c>
      <c r="AU52" s="59">
        <f t="shared" si="38"/>
        <v>664831.6793379212</v>
      </c>
      <c r="AV52" s="59">
        <f t="shared" si="38"/>
        <v>691424.94651143812</v>
      </c>
      <c r="AW52" s="59">
        <f t="shared" si="38"/>
        <v>719081.94437189563</v>
      </c>
      <c r="AX52" s="59">
        <f t="shared" si="38"/>
        <v>747845.2221467715</v>
      </c>
      <c r="AY52" s="59">
        <f t="shared" si="38"/>
        <v>777759.03103264235</v>
      </c>
      <c r="AZ52" s="59">
        <f t="shared" si="38"/>
        <v>808869.39227394806</v>
      </c>
      <c r="BA52" s="59">
        <f t="shared" si="38"/>
        <v>841224.16796490597</v>
      </c>
      <c r="BB52" s="59">
        <f t="shared" si="38"/>
        <v>874873.13468350226</v>
      </c>
      <c r="BC52" s="59">
        <f t="shared" si="38"/>
        <v>909868.06007084239</v>
      </c>
      <c r="BD52" s="59">
        <f t="shared" si="38"/>
        <v>946262.78247367614</v>
      </c>
      <c r="BE52" s="59">
        <f t="shared" si="38"/>
        <v>984113.29377262318</v>
      </c>
      <c r="BF52" s="59">
        <f t="shared" si="38"/>
        <v>1023477.8255235282</v>
      </c>
      <c r="BG52" s="59">
        <f t="shared" si="38"/>
        <v>1064416.9385444694</v>
      </c>
      <c r="BH52" s="59">
        <f t="shared" si="38"/>
        <v>1106993.6160862483</v>
      </c>
      <c r="BI52" s="59">
        <f t="shared" si="38"/>
        <v>1151273.3607296983</v>
      </c>
      <c r="BJ52" s="59">
        <f t="shared" si="38"/>
        <v>1197324.2951588864</v>
      </c>
      <c r="BK52" s="59">
        <f t="shared" si="38"/>
        <v>1245217.2669652419</v>
      </c>
      <c r="BL52" s="59">
        <f t="shared" si="38"/>
        <v>1295025.9576438516</v>
      </c>
      <c r="BM52" s="59">
        <f t="shared" si="38"/>
        <v>1346826.9959496057</v>
      </c>
      <c r="BN52" s="59">
        <f t="shared" si="38"/>
        <v>1400700.0757875899</v>
      </c>
      <c r="BO52" s="59">
        <f t="shared" si="38"/>
        <v>1456728.0788190935</v>
      </c>
      <c r="BP52" s="59">
        <f t="shared" si="38"/>
        <v>1514997.2019718573</v>
      </c>
      <c r="BQ52" s="59">
        <f t="shared" si="38"/>
        <v>1575597.0900507318</v>
      </c>
      <c r="BR52" s="59">
        <f t="shared" si="38"/>
        <v>1638620.9736527612</v>
      </c>
      <c r="BS52" s="59">
        <f t="shared" si="38"/>
        <v>1704165.8125988718</v>
      </c>
      <c r="BT52" s="59">
        <f t="shared" si="38"/>
        <v>1772332.4451028267</v>
      </c>
      <c r="BU52" s="59">
        <f t="shared" si="38"/>
        <v>1843225.7429069399</v>
      </c>
      <c r="BV52" s="59">
        <f t="shared" si="38"/>
        <v>1916954.7726232177</v>
      </c>
      <c r="BW52" s="59">
        <f t="shared" si="38"/>
        <v>1993632.9635281465</v>
      </c>
      <c r="BX52" s="59">
        <f t="shared" si="38"/>
        <v>2073378.2820692724</v>
      </c>
      <c r="BY52" s="59">
        <f t="shared" si="38"/>
        <v>2156313.4133520434</v>
      </c>
      <c r="BZ52" s="59">
        <f t="shared" si="38"/>
        <v>2242565.949886125</v>
      </c>
      <c r="CA52" s="59">
        <f t="shared" si="38"/>
        <v>2332268.5878815702</v>
      </c>
      <c r="CB52" s="59">
        <f t="shared" si="38"/>
        <v>2425559.3313968331</v>
      </c>
      <c r="CC52" s="59">
        <f t="shared" si="38"/>
        <v>2522581.7046527066</v>
      </c>
      <c r="CD52" s="59">
        <f t="shared" si="38"/>
        <v>2623484.9728388148</v>
      </c>
      <c r="CE52" s="59">
        <f t="shared" si="38"/>
        <v>2728424.3717523674</v>
      </c>
      <c r="CF52" s="59">
        <f t="shared" ref="CF52:CH52" si="39">CE52*(1+$E$6)</f>
        <v>2837561.3466224619</v>
      </c>
      <c r="CG52" s="59">
        <f t="shared" si="39"/>
        <v>2951063.8004873605</v>
      </c>
      <c r="CH52" s="59">
        <f t="shared" si="39"/>
        <v>3069106.352506855</v>
      </c>
    </row>
    <row r="53" spans="1:86" x14ac:dyDescent="0.25">
      <c r="A53" s="1"/>
      <c r="B53" s="6"/>
      <c r="C53" s="20"/>
      <c r="D53" s="20"/>
      <c r="E53" s="20"/>
      <c r="F53" s="20"/>
      <c r="G53" s="20"/>
      <c r="H53" s="20"/>
      <c r="I53" s="75"/>
      <c r="J53" s="76"/>
      <c r="K53" s="76"/>
      <c r="L53" s="76"/>
      <c r="M53" s="76"/>
      <c r="N53" s="76"/>
      <c r="O53" s="76"/>
      <c r="P53" s="76"/>
      <c r="Q53" s="76"/>
      <c r="R53" s="76"/>
    </row>
    <row r="54" spans="1:86" x14ac:dyDescent="0.25">
      <c r="A54" s="1"/>
      <c r="B54" s="10" t="s">
        <v>27</v>
      </c>
      <c r="C54" s="12">
        <f t="shared" ref="C54:R54" si="40">C51+C42+C45-C48</f>
        <v>51146</v>
      </c>
      <c r="D54" s="12">
        <f t="shared" si="40"/>
        <v>20422</v>
      </c>
      <c r="E54" s="12">
        <f t="shared" si="40"/>
        <v>56078</v>
      </c>
      <c r="F54" s="12">
        <f t="shared" si="40"/>
        <v>54665</v>
      </c>
      <c r="G54" s="12">
        <f t="shared" si="40"/>
        <v>99532</v>
      </c>
      <c r="H54" s="12">
        <f t="shared" si="40"/>
        <v>99333</v>
      </c>
      <c r="I54" s="81">
        <f t="shared" si="40"/>
        <v>99578.005847099994</v>
      </c>
      <c r="J54" s="82">
        <f t="shared" si="40"/>
        <v>105475.23427840001</v>
      </c>
      <c r="K54" s="82">
        <f t="shared" si="40"/>
        <v>106119.41065599999</v>
      </c>
      <c r="L54" s="82">
        <f t="shared" si="40"/>
        <v>116246.475056</v>
      </c>
      <c r="M54" s="82">
        <f t="shared" si="40"/>
        <v>126167.52665600002</v>
      </c>
      <c r="N54" s="82">
        <f t="shared" si="40"/>
        <v>138220.4296</v>
      </c>
      <c r="O54" s="82">
        <f t="shared" si="40"/>
        <v>149824.63129599998</v>
      </c>
      <c r="P54" s="82">
        <f t="shared" si="40"/>
        <v>166652.53568</v>
      </c>
      <c r="Q54" s="82">
        <f t="shared" si="40"/>
        <v>184457.77544000003</v>
      </c>
      <c r="R54" s="82">
        <f t="shared" si="40"/>
        <v>205254.05851200002</v>
      </c>
    </row>
    <row r="55" spans="1:86" x14ac:dyDescent="0.25">
      <c r="A55" s="1"/>
      <c r="B55" s="22" t="s">
        <v>28</v>
      </c>
      <c r="C55" s="1"/>
      <c r="D55" s="1"/>
      <c r="E55" s="1"/>
      <c r="F55" s="1"/>
      <c r="G55" s="1"/>
      <c r="H55" s="1"/>
      <c r="I55" s="62">
        <f t="shared" ref="I55:R55" si="41">I54/((1+$E$5)^I9)</f>
        <v>90234.863574715782</v>
      </c>
      <c r="J55" s="60">
        <f t="shared" si="41"/>
        <v>86610.866029208424</v>
      </c>
      <c r="K55" s="60">
        <f t="shared" si="41"/>
        <v>78963.729685225189</v>
      </c>
      <c r="L55" s="60">
        <f t="shared" si="41"/>
        <v>78383.302510804642</v>
      </c>
      <c r="M55" s="60">
        <f t="shared" si="41"/>
        <v>77090.754386645756</v>
      </c>
      <c r="N55" s="60">
        <f t="shared" si="41"/>
        <v>76531.087713626199</v>
      </c>
      <c r="O55" s="60">
        <f t="shared" si="41"/>
        <v>75172.640639154764</v>
      </c>
      <c r="P55" s="60">
        <f t="shared" si="41"/>
        <v>75770.378356029483</v>
      </c>
      <c r="Q55" s="60">
        <f t="shared" si="41"/>
        <v>75996.82310805918</v>
      </c>
      <c r="R55" s="60">
        <f t="shared" si="41"/>
        <v>76630.412893139757</v>
      </c>
    </row>
    <row r="56" spans="1:86" x14ac:dyDescent="0.25">
      <c r="A56" s="1"/>
      <c r="B56" s="23"/>
      <c r="C56" s="23"/>
      <c r="D56" s="23"/>
      <c r="E56" s="23"/>
      <c r="F56" s="23"/>
      <c r="G56" s="23"/>
      <c r="H56" s="23"/>
      <c r="I56" s="16"/>
      <c r="J56" s="1"/>
      <c r="K56" s="1"/>
      <c r="L56" s="1"/>
      <c r="M56" s="1"/>
      <c r="N56" s="1"/>
      <c r="O56" s="1"/>
      <c r="P56" s="1"/>
      <c r="Q56" s="1"/>
      <c r="R56" s="1"/>
    </row>
    <row r="57" spans="1:86" x14ac:dyDescent="0.25">
      <c r="A57" s="1"/>
      <c r="B57" s="1" t="s">
        <v>29</v>
      </c>
      <c r="C57" s="24">
        <f>(R54*(1+$E$6))/($E$5-$E$6)</f>
        <v>3359393.4989422741</v>
      </c>
      <c r="D57" s="1"/>
      <c r="E57" s="1" t="s">
        <v>30</v>
      </c>
      <c r="F57" s="19">
        <f>NPV($E$5,I52:CH52)</f>
        <v>2072036.1085765348</v>
      </c>
      <c r="G57" s="1"/>
      <c r="H57" s="1"/>
      <c r="I57" s="16"/>
      <c r="J57" s="1"/>
      <c r="K57" s="1"/>
      <c r="L57" s="1"/>
      <c r="M57" s="1"/>
      <c r="N57" s="1"/>
      <c r="O57" s="1"/>
      <c r="P57" s="1"/>
      <c r="Q57" s="1"/>
    </row>
    <row r="58" spans="1:86" x14ac:dyDescent="0.25">
      <c r="A58" s="1"/>
      <c r="B58" s="3" t="s">
        <v>31</v>
      </c>
      <c r="C58" s="25">
        <f>C57/((1+$E$5)^$R$9)</f>
        <v>1254210.0885153771</v>
      </c>
      <c r="D58" s="17"/>
      <c r="E58" s="3"/>
      <c r="F58" s="3"/>
      <c r="G58" s="3"/>
      <c r="H58" s="17"/>
      <c r="I58" s="13"/>
      <c r="J58" s="1"/>
      <c r="L58" s="49" t="s">
        <v>52</v>
      </c>
      <c r="M58" s="50"/>
      <c r="N58" s="50"/>
      <c r="O58" s="50"/>
      <c r="P58" s="50"/>
      <c r="Q58" s="49"/>
    </row>
    <row r="59" spans="1:86" x14ac:dyDescent="0.25">
      <c r="A59" s="1"/>
      <c r="B59" s="6" t="s">
        <v>32</v>
      </c>
      <c r="C59" s="6"/>
      <c r="D59" s="1"/>
      <c r="E59" s="6"/>
      <c r="F59" s="6"/>
      <c r="G59" s="26" t="s">
        <v>33</v>
      </c>
      <c r="H59" s="26" t="s">
        <v>30</v>
      </c>
      <c r="I59" s="16"/>
      <c r="J59" s="1"/>
      <c r="K59" s="49"/>
      <c r="L59" s="51">
        <f>D65</f>
        <v>129.54390820007018</v>
      </c>
      <c r="M59" s="52">
        <v>-0.01</v>
      </c>
      <c r="N59" s="52">
        <v>0.03</v>
      </c>
      <c r="O59" s="52">
        <v>0.04</v>
      </c>
      <c r="P59" s="52">
        <v>0.05</v>
      </c>
      <c r="Q59" s="52">
        <v>0.06</v>
      </c>
    </row>
    <row r="60" spans="1:86" x14ac:dyDescent="0.25">
      <c r="A60" s="1"/>
      <c r="B60" s="27" t="s">
        <v>34</v>
      </c>
      <c r="C60" s="1"/>
      <c r="D60" s="21">
        <f>24687+31185</f>
        <v>55872</v>
      </c>
      <c r="E60" s="1"/>
      <c r="F60" s="1"/>
      <c r="G60" s="24">
        <f>C58+SUM(I55:R55)</f>
        <v>2045594.9474119863</v>
      </c>
      <c r="H60" s="19">
        <f>F57</f>
        <v>2072036.1085765348</v>
      </c>
      <c r="I60" s="16"/>
      <c r="J60" s="1"/>
      <c r="K60" s="49"/>
      <c r="L60" s="53">
        <f>L61-1%</f>
        <v>8.3542487928160422E-2</v>
      </c>
      <c r="M60" s="54">
        <f t="dataTable" ref="M60:Q64" dt2D="1" dtr="1" r1="E6" r2="E5"/>
        <v>117.33986369566536</v>
      </c>
      <c r="N60" s="54">
        <v>167.14575938702768</v>
      </c>
      <c r="O60" s="54">
        <v>192.26002931212275</v>
      </c>
      <c r="P60" s="54">
        <v>229.75012296113511</v>
      </c>
      <c r="Q60" s="54">
        <v>292.06349970973804</v>
      </c>
    </row>
    <row r="61" spans="1:86" x14ac:dyDescent="0.25">
      <c r="A61" s="1"/>
      <c r="B61" s="28" t="s">
        <v>35</v>
      </c>
      <c r="C61" s="3"/>
      <c r="D61" s="69">
        <f>120075-42945</f>
        <v>77130</v>
      </c>
      <c r="E61" s="3"/>
      <c r="F61" s="3"/>
      <c r="G61" s="3"/>
      <c r="H61" s="3"/>
      <c r="I61" s="16"/>
      <c r="J61" s="1"/>
      <c r="K61" s="50"/>
      <c r="L61" s="53">
        <f>L62-1%</f>
        <v>9.3542487928160417E-2</v>
      </c>
      <c r="M61" s="54">
        <v>103.53009077595934</v>
      </c>
      <c r="N61" s="55">
        <v>138.95671419486894</v>
      </c>
      <c r="O61" s="55">
        <v>155.43450658291786</v>
      </c>
      <c r="P61" s="55">
        <v>178.50309544144784</v>
      </c>
      <c r="Q61" s="54">
        <v>212.91805414162931</v>
      </c>
    </row>
    <row r="62" spans="1:86" x14ac:dyDescent="0.25">
      <c r="A62" s="1"/>
      <c r="B62" s="6" t="s">
        <v>36</v>
      </c>
      <c r="C62" s="6"/>
      <c r="D62" s="6"/>
      <c r="E62" s="6"/>
      <c r="F62" s="6"/>
      <c r="G62" s="29">
        <f>(G60+D60-D61)</f>
        <v>2024336.9474119861</v>
      </c>
      <c r="H62" s="30">
        <f>(H60+D60-D61)</f>
        <v>2050778.1085765348</v>
      </c>
      <c r="I62" s="16"/>
      <c r="J62"/>
      <c r="K62" s="49" t="s">
        <v>1</v>
      </c>
      <c r="L62" s="56">
        <v>0.10354248792816041</v>
      </c>
      <c r="M62" s="54">
        <v>92.284725692659848</v>
      </c>
      <c r="N62" s="55">
        <v>118.22498512312276</v>
      </c>
      <c r="O62" s="57">
        <v>129.54390820007018</v>
      </c>
      <c r="P62" s="55">
        <v>144.69991296542219</v>
      </c>
      <c r="Q62" s="54">
        <v>165.90526044198975</v>
      </c>
    </row>
    <row r="63" spans="1:86" x14ac:dyDescent="0.25">
      <c r="A63" s="1"/>
      <c r="B63" s="3" t="s">
        <v>37</v>
      </c>
      <c r="C63" s="3"/>
      <c r="D63" s="34">
        <f>15728702000/1000000</f>
        <v>15728.701999999999</v>
      </c>
      <c r="E63" s="3"/>
      <c r="F63" s="3"/>
      <c r="G63" s="3"/>
      <c r="H63" s="3"/>
      <c r="I63" s="16"/>
      <c r="J63" s="1"/>
      <c r="K63" s="49"/>
      <c r="L63" s="58">
        <f>L62+1%</f>
        <v>0.11354248792816041</v>
      </c>
      <c r="M63" s="54">
        <v>82.977351994725012</v>
      </c>
      <c r="N63" s="55">
        <v>102.42472778934155</v>
      </c>
      <c r="O63" s="55">
        <v>110.47700534929605</v>
      </c>
      <c r="P63" s="55">
        <v>120.90075005766403</v>
      </c>
      <c r="Q63" s="54">
        <v>134.85110850929058</v>
      </c>
    </row>
    <row r="64" spans="1:86" x14ac:dyDescent="0.25">
      <c r="A64" s="1"/>
      <c r="B64" s="18" t="s">
        <v>38</v>
      </c>
      <c r="C64" s="18"/>
      <c r="D64" s="18">
        <f>D63*$J$5</f>
        <v>2730030.80614</v>
      </c>
      <c r="E64" s="18"/>
      <c r="F64" s="18"/>
      <c r="G64" s="18"/>
      <c r="H64" s="31"/>
      <c r="I64" s="1"/>
      <c r="J64" s="1"/>
      <c r="K64" s="49"/>
      <c r="L64" s="58">
        <f>L63+1%</f>
        <v>0.1235424879281604</v>
      </c>
      <c r="M64" s="54">
        <v>75.166652581369078</v>
      </c>
      <c r="N64" s="54">
        <v>90.035414464275561</v>
      </c>
      <c r="O64" s="54">
        <v>95.926915790982264</v>
      </c>
      <c r="P64" s="54">
        <v>103.35050265488871</v>
      </c>
      <c r="Q64" s="54">
        <v>112.95668024137485</v>
      </c>
    </row>
    <row r="65" spans="1:10" x14ac:dyDescent="0.25">
      <c r="A65" s="1"/>
      <c r="B65" s="6" t="s">
        <v>39</v>
      </c>
      <c r="C65" s="6" t="s">
        <v>40</v>
      </c>
      <c r="D65" s="32">
        <f>(G65+H65)/2</f>
        <v>129.54390820007018</v>
      </c>
      <c r="F65" s="6"/>
      <c r="G65" s="32">
        <f>G62/D63</f>
        <v>128.70336963673074</v>
      </c>
      <c r="H65" s="32">
        <f>H62/D63</f>
        <v>130.38444676340964</v>
      </c>
      <c r="I65" s="16"/>
      <c r="J65" s="1"/>
    </row>
    <row r="66" spans="1:10" x14ac:dyDescent="0.25">
      <c r="A66"/>
      <c r="C66" s="1"/>
      <c r="D6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2"/>
  <sheetViews>
    <sheetView workbookViewId="0">
      <selection activeCell="F10" sqref="F10"/>
    </sheetView>
  </sheetViews>
  <sheetFormatPr defaultRowHeight="15" x14ac:dyDescent="0.25"/>
  <cols>
    <col min="11" max="11" width="11.28515625" customWidth="1"/>
  </cols>
  <sheetData>
    <row r="1" spans="1:13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3" ht="23.25" x14ac:dyDescent="0.35">
      <c r="A2" s="2"/>
      <c r="B2" s="36" t="s">
        <v>1</v>
      </c>
      <c r="C2" s="2"/>
      <c r="D2" s="2"/>
      <c r="E2" s="2"/>
      <c r="F2" s="2"/>
      <c r="G2" s="2"/>
      <c r="H2" s="2"/>
      <c r="I2" s="2"/>
      <c r="J2" s="2"/>
      <c r="K2" s="2"/>
      <c r="L2" s="37"/>
    </row>
    <row r="3" spans="1:13" x14ac:dyDescent="0.2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2"/>
    </row>
    <row r="4" spans="1:13" x14ac:dyDescent="0.25">
      <c r="A4" s="39" t="s">
        <v>42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3" x14ac:dyDescent="0.25">
      <c r="A6" s="2"/>
      <c r="B6" s="2" t="s">
        <v>43</v>
      </c>
      <c r="C6" s="2"/>
      <c r="D6" s="40">
        <f>'AAPL DCF'!I39</f>
        <v>0.16009999999999999</v>
      </c>
      <c r="E6" s="2"/>
      <c r="F6" s="2"/>
      <c r="G6" s="2"/>
      <c r="H6" s="2"/>
      <c r="I6" s="2"/>
      <c r="J6" s="2"/>
      <c r="K6" s="2"/>
      <c r="L6" s="2"/>
    </row>
    <row r="7" spans="1:13" x14ac:dyDescent="0.25">
      <c r="A7" s="2"/>
      <c r="B7" s="2" t="s">
        <v>44</v>
      </c>
      <c r="C7" s="2"/>
      <c r="D7" s="40">
        <v>3.6999999999999998E-2</v>
      </c>
      <c r="E7" s="2"/>
      <c r="F7" s="2"/>
      <c r="G7" s="2"/>
      <c r="H7" s="2"/>
      <c r="I7" s="2"/>
      <c r="J7" s="2"/>
      <c r="K7" s="2"/>
      <c r="L7" s="2"/>
    </row>
    <row r="8" spans="1:13" x14ac:dyDescent="0.25">
      <c r="A8" s="2"/>
      <c r="B8" s="2" t="s">
        <v>56</v>
      </c>
      <c r="C8" s="2"/>
      <c r="D8" s="93">
        <v>1.05</v>
      </c>
      <c r="E8" s="2"/>
      <c r="F8" s="2"/>
      <c r="G8" s="2"/>
      <c r="H8" s="2"/>
      <c r="I8" s="2"/>
      <c r="J8" s="2"/>
      <c r="K8" s="2"/>
      <c r="L8" s="2"/>
    </row>
    <row r="9" spans="1:13" x14ac:dyDescent="0.25">
      <c r="A9" s="2"/>
      <c r="B9" s="2" t="s">
        <v>45</v>
      </c>
      <c r="C9" s="2"/>
      <c r="D9" s="41">
        <v>1.23</v>
      </c>
      <c r="E9" s="2"/>
      <c r="F9" s="2"/>
      <c r="G9" s="2"/>
      <c r="H9" s="2"/>
      <c r="I9" s="2"/>
      <c r="J9" s="2"/>
      <c r="K9" s="2"/>
      <c r="L9" s="2"/>
    </row>
    <row r="10" spans="1:13" x14ac:dyDescent="0.25">
      <c r="A10" s="2"/>
      <c r="B10" s="2" t="s">
        <v>46</v>
      </c>
      <c r="C10" s="2"/>
      <c r="D10" s="40">
        <v>0.06</v>
      </c>
      <c r="E10" s="2"/>
      <c r="F10" s="2"/>
      <c r="G10" s="2"/>
      <c r="H10" s="2"/>
      <c r="I10" s="2"/>
      <c r="J10" s="2"/>
      <c r="K10" s="2"/>
      <c r="L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34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3" x14ac:dyDescent="0.25">
      <c r="A13" s="2" t="s">
        <v>36</v>
      </c>
      <c r="B13" s="2"/>
      <c r="C13" s="21">
        <f>'AAPL DCF'!D64</f>
        <v>2730030.80614</v>
      </c>
      <c r="D13" s="2"/>
      <c r="E13" s="2" t="s">
        <v>35</v>
      </c>
      <c r="F13" s="2"/>
      <c r="G13" s="21">
        <f>'AAPL DCF'!D61</f>
        <v>77130</v>
      </c>
      <c r="H13" s="2"/>
      <c r="I13" s="2" t="s">
        <v>47</v>
      </c>
      <c r="J13" s="2"/>
      <c r="K13" s="21">
        <f>G13+C13</f>
        <v>2807160.80614</v>
      </c>
      <c r="L13" s="2"/>
    </row>
    <row r="14" spans="1:13" x14ac:dyDescent="0.25">
      <c r="A14" s="2" t="s">
        <v>48</v>
      </c>
      <c r="B14" s="2"/>
      <c r="C14" s="42">
        <f>C13/K13</f>
        <v>0.97252383980593615</v>
      </c>
      <c r="D14" s="2"/>
      <c r="E14" s="2" t="s">
        <v>49</v>
      </c>
      <c r="F14" s="2"/>
      <c r="G14" s="43">
        <f>G13/K13</f>
        <v>2.747616019406383E-2</v>
      </c>
      <c r="H14" s="2"/>
      <c r="I14" s="2"/>
      <c r="J14" s="2"/>
      <c r="K14" s="2"/>
      <c r="L14" s="2"/>
      <c r="M14" s="34"/>
    </row>
    <row r="15" spans="1:13" x14ac:dyDescent="0.25">
      <c r="A15" s="2" t="s">
        <v>50</v>
      </c>
      <c r="B15" s="2"/>
      <c r="C15" s="44">
        <f>D7+((D9+D8)/2)*(D10)</f>
        <v>0.10539999999999999</v>
      </c>
      <c r="D15" s="2"/>
      <c r="E15" s="2" t="s">
        <v>51</v>
      </c>
      <c r="F15" s="2"/>
      <c r="G15" s="45">
        <v>4.4999999999999998E-2</v>
      </c>
      <c r="H15" s="2"/>
      <c r="I15" s="46" t="s">
        <v>1</v>
      </c>
      <c r="J15" s="47"/>
      <c r="K15" s="65">
        <f>C14*C15+G15*G14*(1-D6)</f>
        <v>0.10354248792816041</v>
      </c>
      <c r="L15" s="2"/>
    </row>
    <row r="16" spans="1:13" x14ac:dyDescent="0.25">
      <c r="D16" s="34"/>
      <c r="G16" s="34"/>
      <c r="J16" s="34"/>
      <c r="M16" s="34"/>
    </row>
    <row r="17" spans="1:14" x14ac:dyDescent="0.25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</row>
    <row r="18" spans="1:14" x14ac:dyDescent="0.25">
      <c r="D18" s="34"/>
      <c r="G18" s="34"/>
      <c r="J18" s="34"/>
      <c r="M18" s="34"/>
    </row>
    <row r="22" spans="1:14" x14ac:dyDescent="0.25">
      <c r="D22" s="34"/>
      <c r="E22" s="34"/>
      <c r="F22" s="34"/>
      <c r="G22" s="34"/>
      <c r="H22" s="34"/>
      <c r="I22" s="34"/>
      <c r="J22" s="34"/>
      <c r="K22" s="34"/>
      <c r="L22" s="34"/>
      <c r="M22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AAPL 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2023-06-03T09:59:23Z</dcterms:modified>
</cp:coreProperties>
</file>