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DF720CB5-56DF-4AC0-986F-43DC341DC1B5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MXL DCF" sheetId="1" r:id="rId1"/>
    <sheet name="WACC" sheetId="2" r:id="rId2"/>
    <sheet name="Raw IS" sheetId="3" r:id="rId3"/>
    <sheet name="Raw CF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N20" i="1"/>
  <c r="O20" i="1" s="1"/>
  <c r="P20" i="1" s="1"/>
  <c r="Q20" i="1" s="1"/>
  <c r="R20" i="1" s="1"/>
  <c r="L20" i="1"/>
  <c r="L62" i="1"/>
  <c r="L63" i="1"/>
  <c r="L66" i="1"/>
  <c r="L65" i="1"/>
  <c r="D63" i="1"/>
  <c r="D65" i="1"/>
  <c r="I45" i="1"/>
  <c r="J45" i="1"/>
  <c r="K45" i="1"/>
  <c r="I26" i="1"/>
  <c r="J26" i="1"/>
  <c r="K26" i="1"/>
  <c r="I23" i="1"/>
  <c r="J23" i="1"/>
  <c r="K23" i="1"/>
  <c r="I20" i="1"/>
  <c r="J20" i="1"/>
  <c r="K20" i="1"/>
  <c r="I28" i="1"/>
  <c r="J28" i="1"/>
  <c r="K28" i="1"/>
  <c r="I29" i="1"/>
  <c r="J29" i="1"/>
  <c r="K29" i="1"/>
  <c r="C54" i="1"/>
  <c r="D54" i="1"/>
  <c r="E54" i="1"/>
  <c r="F54" i="1"/>
  <c r="G54" i="1"/>
  <c r="H54" i="1"/>
  <c r="M17" i="1"/>
  <c r="N17" i="1"/>
  <c r="O17" i="1" s="1"/>
  <c r="P17" i="1" s="1"/>
  <c r="Q17" i="1" s="1"/>
  <c r="R17" i="1" s="1"/>
  <c r="L17" i="1"/>
  <c r="I12" i="1"/>
  <c r="C56" i="1"/>
  <c r="H53" i="1"/>
  <c r="D53" i="1"/>
  <c r="E53" i="1"/>
  <c r="F53" i="1"/>
  <c r="G53" i="1"/>
  <c r="C53" i="1"/>
  <c r="G50" i="1"/>
  <c r="H50" i="1"/>
  <c r="F50" i="1"/>
  <c r="D50" i="1"/>
  <c r="E50" i="1"/>
  <c r="C50" i="1"/>
  <c r="G47" i="1"/>
  <c r="H47" i="1"/>
  <c r="F47" i="1"/>
  <c r="D47" i="1"/>
  <c r="E47" i="1"/>
  <c r="C47" i="1"/>
  <c r="H44" i="1"/>
  <c r="G44" i="1"/>
  <c r="F44" i="1"/>
  <c r="D44" i="1"/>
  <c r="E44" i="1"/>
  <c r="C44" i="1"/>
  <c r="G40" i="1"/>
  <c r="H40" i="1"/>
  <c r="F40" i="1"/>
  <c r="D40" i="1"/>
  <c r="E40" i="1"/>
  <c r="C40" i="1"/>
  <c r="C35" i="1"/>
  <c r="G32" i="1"/>
  <c r="H32" i="1"/>
  <c r="F32" i="1"/>
  <c r="D32" i="1"/>
  <c r="E32" i="1"/>
  <c r="C32" i="1"/>
  <c r="C31" i="1"/>
  <c r="C28" i="1"/>
  <c r="G25" i="1"/>
  <c r="H25" i="1"/>
  <c r="F25" i="1"/>
  <c r="D25" i="1"/>
  <c r="E25" i="1"/>
  <c r="C25" i="1"/>
  <c r="G22" i="1"/>
  <c r="H22" i="1"/>
  <c r="F22" i="1"/>
  <c r="D22" i="1"/>
  <c r="E22" i="1"/>
  <c r="C22" i="1"/>
  <c r="G19" i="1"/>
  <c r="H19" i="1"/>
  <c r="F19" i="1"/>
  <c r="D19" i="1"/>
  <c r="E19" i="1"/>
  <c r="C19" i="1"/>
  <c r="G14" i="1"/>
  <c r="H14" i="1"/>
  <c r="F14" i="1"/>
  <c r="D14" i="1"/>
  <c r="E14" i="1"/>
  <c r="C14" i="1"/>
  <c r="G11" i="1"/>
  <c r="H11" i="1"/>
  <c r="F11" i="1"/>
  <c r="D11" i="1"/>
  <c r="E11" i="1"/>
  <c r="C11" i="1"/>
  <c r="G12" i="2"/>
  <c r="E33" i="1" l="1"/>
  <c r="G33" i="1"/>
  <c r="F33" i="1"/>
  <c r="C33" i="1"/>
  <c r="D33" i="1"/>
  <c r="H33" i="1"/>
  <c r="I48" i="1"/>
  <c r="I32" i="1"/>
  <c r="C26" i="1"/>
  <c r="D26" i="1"/>
  <c r="H26" i="1"/>
  <c r="E26" i="1"/>
  <c r="F26" i="1"/>
  <c r="G26" i="1"/>
  <c r="C14" i="2"/>
  <c r="D66" i="1"/>
  <c r="C12" i="2" s="1"/>
  <c r="D23" i="1"/>
  <c r="E23" i="1"/>
  <c r="F23" i="1"/>
  <c r="G23" i="1"/>
  <c r="H23" i="1"/>
  <c r="C23" i="1"/>
  <c r="D20" i="1"/>
  <c r="E20" i="1"/>
  <c r="F20" i="1"/>
  <c r="G20" i="1"/>
  <c r="H20" i="1"/>
  <c r="C20" i="1"/>
  <c r="H28" i="1"/>
  <c r="H12" i="1"/>
  <c r="G28" i="1"/>
  <c r="G29" i="1" s="1"/>
  <c r="F28" i="1"/>
  <c r="E28" i="1"/>
  <c r="E29" i="1" s="1"/>
  <c r="D28" i="1"/>
  <c r="C29" i="1"/>
  <c r="E48" i="1"/>
  <c r="D48" i="1"/>
  <c r="C48" i="1"/>
  <c r="F48" i="1"/>
  <c r="G48" i="1"/>
  <c r="H48" i="1"/>
  <c r="F45" i="1"/>
  <c r="H45" i="1"/>
  <c r="C45" i="1"/>
  <c r="D51" i="1"/>
  <c r="C51" i="1"/>
  <c r="D45" i="1"/>
  <c r="D16" i="1"/>
  <c r="D17" i="1" s="1"/>
  <c r="E16" i="1"/>
  <c r="C16" i="1"/>
  <c r="F51" i="1"/>
  <c r="G51" i="1"/>
  <c r="H51" i="1"/>
  <c r="G45" i="1"/>
  <c r="E45" i="1"/>
  <c r="F16" i="1"/>
  <c r="F17" i="1" s="1"/>
  <c r="G16" i="1"/>
  <c r="H16" i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H31" i="1" l="1"/>
  <c r="H35" i="1" s="1"/>
  <c r="H17" i="1"/>
  <c r="I50" i="1"/>
  <c r="E51" i="1"/>
  <c r="K12" i="2"/>
  <c r="C13" i="2" s="1"/>
  <c r="I16" i="1"/>
  <c r="D31" i="1"/>
  <c r="D35" i="1" s="1"/>
  <c r="G31" i="1"/>
  <c r="G35" i="1" s="1"/>
  <c r="E31" i="1"/>
  <c r="E35" i="1" s="1"/>
  <c r="G37" i="1"/>
  <c r="G17" i="1"/>
  <c r="C17" i="1"/>
  <c r="E17" i="1"/>
  <c r="H29" i="1"/>
  <c r="F31" i="1"/>
  <c r="F35" i="1" s="1"/>
  <c r="F29" i="1"/>
  <c r="D29" i="1"/>
  <c r="G56" i="1" l="1"/>
  <c r="G41" i="1"/>
  <c r="I31" i="1"/>
  <c r="C37" i="1"/>
  <c r="I14" i="1"/>
  <c r="G13" i="2"/>
  <c r="K14" i="2" s="1"/>
  <c r="E5" i="1" s="1"/>
  <c r="E37" i="1"/>
  <c r="D37" i="1"/>
  <c r="F37" i="1"/>
  <c r="H37" i="1"/>
  <c r="G38" i="1"/>
  <c r="D41" i="1" l="1"/>
  <c r="I40" i="1"/>
  <c r="I35" i="1"/>
  <c r="H56" i="1"/>
  <c r="H41" i="1"/>
  <c r="F56" i="1"/>
  <c r="F41" i="1"/>
  <c r="E56" i="1"/>
  <c r="E41" i="1"/>
  <c r="C38" i="1"/>
  <c r="C41" i="1"/>
  <c r="E38" i="1"/>
  <c r="D56" i="1"/>
  <c r="D38" i="1"/>
  <c r="H38" i="1"/>
  <c r="F38" i="1"/>
  <c r="I53" i="1" l="1"/>
  <c r="I54" i="1"/>
  <c r="I38" i="1"/>
  <c r="I56" i="1"/>
  <c r="I57" i="1" s="1"/>
  <c r="J48" i="1" l="1"/>
  <c r="J32" i="1"/>
  <c r="J50" i="1"/>
  <c r="J16" i="1"/>
  <c r="J14" i="1" s="1"/>
  <c r="J12" i="1"/>
  <c r="J31" i="1" l="1"/>
  <c r="J35" i="1" s="1"/>
  <c r="J38" i="1" l="1"/>
  <c r="J40" i="1"/>
  <c r="K48" i="1"/>
  <c r="K50" i="1"/>
  <c r="K32" i="1"/>
  <c r="K16" i="1"/>
  <c r="K14" i="1" s="1"/>
  <c r="K12" i="1"/>
  <c r="J54" i="1" l="1"/>
  <c r="J53" i="1"/>
  <c r="J56" i="1" s="1"/>
  <c r="J57" i="1" s="1"/>
  <c r="K31" i="1"/>
  <c r="K35" i="1" l="1"/>
  <c r="K40" i="1" l="1"/>
  <c r="K38" i="1"/>
  <c r="L11" i="1"/>
  <c r="L16" i="1" l="1"/>
  <c r="L14" i="1" s="1"/>
  <c r="L47" i="1"/>
  <c r="L44" i="1"/>
  <c r="L25" i="1"/>
  <c r="L22" i="1"/>
  <c r="L19" i="1"/>
  <c r="K54" i="1"/>
  <c r="K53" i="1"/>
  <c r="K56" i="1" s="1"/>
  <c r="K57" i="1" s="1"/>
  <c r="L50" i="1"/>
  <c r="L32" i="1"/>
  <c r="L28" i="1" l="1"/>
  <c r="M11" i="1"/>
  <c r="M25" i="1" l="1"/>
  <c r="M19" i="1"/>
  <c r="M47" i="1"/>
  <c r="M44" i="1"/>
  <c r="M22" i="1"/>
  <c r="M50" i="1"/>
  <c r="M32" i="1"/>
  <c r="M16" i="1"/>
  <c r="M14" i="1" s="1"/>
  <c r="N11" i="1"/>
  <c r="M28" i="1" l="1"/>
  <c r="N47" i="1"/>
  <c r="N22" i="1"/>
  <c r="N25" i="1"/>
  <c r="N19" i="1"/>
  <c r="N44" i="1"/>
  <c r="N16" i="1"/>
  <c r="N32" i="1"/>
  <c r="N50" i="1"/>
  <c r="O11" i="1"/>
  <c r="O25" i="1" l="1"/>
  <c r="O47" i="1"/>
  <c r="O22" i="1"/>
  <c r="O19" i="1"/>
  <c r="N28" i="1"/>
  <c r="O16" i="1"/>
  <c r="O50" i="1"/>
  <c r="O14" i="1"/>
  <c r="O32" i="1"/>
  <c r="P11" i="1"/>
  <c r="N14" i="1"/>
  <c r="O44" i="1"/>
  <c r="O28" i="1" l="1"/>
  <c r="P47" i="1"/>
  <c r="P22" i="1"/>
  <c r="P25" i="1"/>
  <c r="P19" i="1"/>
  <c r="P44" i="1"/>
  <c r="P32" i="1"/>
  <c r="P50" i="1"/>
  <c r="Q11" i="1"/>
  <c r="P16" i="1"/>
  <c r="Q25" i="1" l="1"/>
  <c r="Q47" i="1"/>
  <c r="Q22" i="1"/>
  <c r="Q19" i="1"/>
  <c r="P28" i="1"/>
  <c r="P14" i="1"/>
  <c r="Q32" i="1"/>
  <c r="Q16" i="1"/>
  <c r="Q14" i="1" s="1"/>
  <c r="Q50" i="1"/>
  <c r="R11" i="1"/>
  <c r="Q44" i="1"/>
  <c r="Q28" i="1" l="1"/>
  <c r="Q29" i="1" s="1"/>
  <c r="R22" i="1"/>
  <c r="R25" i="1"/>
  <c r="R19" i="1"/>
  <c r="R44" i="1"/>
  <c r="R47" i="1"/>
  <c r="R16" i="1"/>
  <c r="R14" i="1" s="1"/>
  <c r="R32" i="1"/>
  <c r="R50" i="1"/>
  <c r="N29" i="1"/>
  <c r="O29" i="1"/>
  <c r="M29" i="1"/>
  <c r="M31" i="1"/>
  <c r="P29" i="1"/>
  <c r="L29" i="1"/>
  <c r="Q31" i="1"/>
  <c r="Q37" i="1" s="1"/>
  <c r="O31" i="1"/>
  <c r="O37" i="1" s="1"/>
  <c r="O38" i="1" s="1"/>
  <c r="L31" i="1"/>
  <c r="L37" i="1" s="1"/>
  <c r="N31" i="1"/>
  <c r="N35" i="1" s="1"/>
  <c r="P31" i="1"/>
  <c r="P37" i="1" s="1"/>
  <c r="P40" i="1" s="1"/>
  <c r="O40" i="1" l="1"/>
  <c r="O53" i="1" s="1"/>
  <c r="O56" i="1" s="1"/>
  <c r="O57" i="1" s="1"/>
  <c r="R28" i="1"/>
  <c r="R29" i="1" s="1"/>
  <c r="L35" i="1"/>
  <c r="P35" i="1"/>
  <c r="P54" i="1" s="1"/>
  <c r="Q35" i="1"/>
  <c r="Q38" i="1"/>
  <c r="Q40" i="1"/>
  <c r="Q53" i="1" s="1"/>
  <c r="Q56" i="1" s="1"/>
  <c r="Q57" i="1" s="1"/>
  <c r="P53" i="1"/>
  <c r="P56" i="1" s="1"/>
  <c r="P57" i="1" s="1"/>
  <c r="Q54" i="1"/>
  <c r="O35" i="1"/>
  <c r="L38" i="1"/>
  <c r="L40" i="1"/>
  <c r="P38" i="1"/>
  <c r="N37" i="1"/>
  <c r="M35" i="1"/>
  <c r="M37" i="1"/>
  <c r="O54" i="1" l="1"/>
  <c r="R31" i="1"/>
  <c r="L54" i="1"/>
  <c r="L53" i="1"/>
  <c r="L56" i="1" s="1"/>
  <c r="L57" i="1" s="1"/>
  <c r="N38" i="1"/>
  <c r="N40" i="1"/>
  <c r="N54" i="1" s="1"/>
  <c r="M40" i="1"/>
  <c r="M53" i="1" s="1"/>
  <c r="M56" i="1" s="1"/>
  <c r="M57" i="1" s="1"/>
  <c r="M38" i="1"/>
  <c r="M54" i="1"/>
  <c r="R35" i="1" l="1"/>
  <c r="R37" i="1"/>
  <c r="N53" i="1"/>
  <c r="N56" i="1" s="1"/>
  <c r="N57" i="1" s="1"/>
  <c r="R40" i="1" l="1"/>
  <c r="R54" i="1" s="1"/>
  <c r="R38" i="1"/>
  <c r="R53" i="1"/>
  <c r="R56" i="1" s="1"/>
  <c r="S54" i="1" l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BJ54" i="1" s="1"/>
  <c r="BK54" i="1" s="1"/>
  <c r="BL54" i="1" s="1"/>
  <c r="BM54" i="1" s="1"/>
  <c r="BN54" i="1" s="1"/>
  <c r="BO54" i="1" s="1"/>
  <c r="BP54" i="1" s="1"/>
  <c r="BQ54" i="1" s="1"/>
  <c r="BR54" i="1" s="1"/>
  <c r="BS54" i="1" s="1"/>
  <c r="BT54" i="1" s="1"/>
  <c r="BU54" i="1" s="1"/>
  <c r="BV54" i="1" s="1"/>
  <c r="BW54" i="1" s="1"/>
  <c r="BX54" i="1" s="1"/>
  <c r="BY54" i="1" s="1"/>
  <c r="BZ54" i="1" s="1"/>
  <c r="CA54" i="1" s="1"/>
  <c r="CB54" i="1" s="1"/>
  <c r="CC54" i="1" s="1"/>
  <c r="CD54" i="1" s="1"/>
  <c r="CE54" i="1" s="1"/>
  <c r="CF54" i="1" s="1"/>
  <c r="CG54" i="1" s="1"/>
  <c r="CH54" i="1" s="1"/>
  <c r="C59" i="1"/>
  <c r="C60" i="1" s="1"/>
  <c r="R57" i="1"/>
  <c r="F59" i="1" l="1"/>
  <c r="H62" i="1" s="1"/>
  <c r="H64" i="1" s="1"/>
  <c r="H67" i="1" s="1"/>
  <c r="G62" i="1"/>
  <c r="G64" i="1" s="1"/>
  <c r="G67" i="1" s="1"/>
  <c r="D67" i="1" l="1"/>
  <c r="J6" i="1" s="1"/>
  <c r="N5" i="1" s="1"/>
  <c r="L61" i="1" l="1"/>
</calcChain>
</file>

<file path=xl/sharedStrings.xml><?xml version="1.0" encoding="utf-8"?>
<sst xmlns="http://schemas.openxmlformats.org/spreadsheetml/2006/main" count="282" uniqueCount="164">
  <si>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</si>
  <si>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</si>
  <si>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</si>
  <si>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</si>
  <si>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</si>
  <si>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</si>
  <si>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</si>
  <si>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</si>
  <si>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</si>
  <si>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</si>
  <si>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</si>
  <si>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</si>
  <si>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</si>
  <si>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 xml:space="preserve">Other 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</si>
  <si>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</si>
  <si>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</si>
  <si>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</si>
  <si>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</si>
  <si>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</si>
  <si>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</si>
  <si>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</si>
  <si>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</si>
  <si>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</si>
  <si>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</si>
  <si>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</si>
  <si>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</si>
  <si>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</si>
  <si>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</si>
  <si>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</si>
  <si>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</si>
  <si>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</si>
  <si>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</si>
  <si>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</si>
  <si>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</si>
  <si>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</si>
  <si>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</si>
  <si>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</si>
  <si>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</si>
  <si>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</si>
  <si>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</si>
  <si>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</si>
  <si>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</si>
  <si>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</si>
  <si>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</si>
  <si>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</si>
  <si>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</si>
  <si>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</si>
  <si>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</si>
  <si>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</si>
  <si>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</si>
  <si>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</si>
  <si>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</si>
  <si>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</si>
  <si>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SG&amp;A</t>
  </si>
  <si>
    <t xml:space="preserve">                                             Terminal Growth Rate</t>
  </si>
  <si>
    <t>Gross profit</t>
  </si>
  <si>
    <t>Operating expenses:</t>
  </si>
  <si>
    <t>Research and development</t>
  </si>
  <si>
    <t>Selling, general and administrative</t>
  </si>
  <si>
    <t>Total operating expenses</t>
  </si>
  <si>
    <t>Interest expense</t>
  </si>
  <si>
    <t>Other income (expense), net</t>
  </si>
  <si>
    <t>Deferred income taxes</t>
  </si>
  <si>
    <t>Prepaid expenses and other assets</t>
  </si>
  <si>
    <t>Net cash provided by operating activities</t>
  </si>
  <si>
    <t>Purchases of property and equipment</t>
  </si>
  <si>
    <t>Net cash used in investing activities</t>
  </si>
  <si>
    <t>Interest income</t>
  </si>
  <si>
    <t>Net income (loss)</t>
  </si>
  <si>
    <t>Net cash provided by (used in) financing activities</t>
  </si>
  <si>
    <t>Consolidated Statements of Operations - USD ($) shares in Thousands, $ in Thousands</t>
  </si>
  <si>
    <t>12 Months Ended</t>
  </si>
  <si>
    <t>Income Statement [Abstract]</t>
  </si>
  <si>
    <t> </t>
  </si>
  <si>
    <t>Net revenue</t>
  </si>
  <si>
    <t>Cost of net revenue</t>
  </si>
  <si>
    <t>Impairment losses</t>
  </si>
  <si>
    <t>Restructuring charges</t>
  </si>
  <si>
    <t>Income (loss) from operations</t>
  </si>
  <si>
    <t>Loss on extinguishment of debt</t>
  </si>
  <si>
    <t>Total other income (expense), net</t>
  </si>
  <si>
    <t>Income (loss) before income taxes</t>
  </si>
  <si>
    <t>Income tax provision (benefit)</t>
  </si>
  <si>
    <t>Earnings Per Share [Abstract]</t>
  </si>
  <si>
    <t>Basic (usd per share)</t>
  </si>
  <si>
    <t>Diluted (usd per share)</t>
  </si>
  <si>
    <t>Shares used to compute net income (loss) per share:</t>
  </si>
  <si>
    <t>Basic (shares)</t>
  </si>
  <si>
    <t>Diluted (shares)</t>
  </si>
  <si>
    <t>Consolidated Statements of Cash Flows - USD ($) $ in Thousands</t>
  </si>
  <si>
    <t>Operating Activities</t>
  </si>
  <si>
    <t>Adjustments to reconcile net income (loss) to cash provided by operating activities:</t>
  </si>
  <si>
    <t>Amortization and depreciation</t>
  </si>
  <si>
    <t>Inventory fair value adjustments</t>
  </si>
  <si>
    <t>Amortization of debt issuance costs and accretion of discounts</t>
  </si>
  <si>
    <t>Stock-based compensation</t>
  </si>
  <si>
    <t>Loss on disposal of property and equipment</t>
  </si>
  <si>
    <t>Gain on sale of investments</t>
  </si>
  <si>
    <t>Unrealized holding loss on investments</t>
  </si>
  <si>
    <t>Impairment of leasehold improvements</t>
  </si>
  <si>
    <t>Impairment of leased right-of-use assets</t>
  </si>
  <si>
    <t>(Gain) loss on foreign currency</t>
  </si>
  <si>
    <t>Excess tax benefits on stock-based awards</t>
  </si>
  <si>
    <t>Changes in operating assets and liabilities, net of effects of acquisitions:</t>
  </si>
  <si>
    <t>Accounts receivable</t>
  </si>
  <si>
    <t>Inventory</t>
  </si>
  <si>
    <t>Leased right-of-use assets</t>
  </si>
  <si>
    <t>Accounts payable, accrued expenses and other current liabilities</t>
  </si>
  <si>
    <t>Accrued compensation</t>
  </si>
  <si>
    <t>Accrued price protection liability</t>
  </si>
  <si>
    <t>Lease liabilities</t>
  </si>
  <si>
    <t>Other long-term liabilities</t>
  </si>
  <si>
    <t>Investing Activities</t>
  </si>
  <si>
    <t>Purchases of intangible assets</t>
  </si>
  <si>
    <t>Cash used in acquisitions, net of cash acquired</t>
  </si>
  <si>
    <t>Proceeds loaned under notes receivable</t>
  </si>
  <si>
    <t>Purchases of long-term investments</t>
  </si>
  <si>
    <t>Financing Activities</t>
  </si>
  <si>
    <t>Proceeds from the issuance of debt</t>
  </si>
  <si>
    <t>Payment of debt issuance cost</t>
  </si>
  <si>
    <t>Repayment of debt</t>
  </si>
  <si>
    <t>Net proceeds from issuance of common stock</t>
  </si>
  <si>
    <t>Minimum tax withholding paid on behalf of employees for restricted stock units</t>
  </si>
  <si>
    <t>Repurchase of common stock</t>
  </si>
  <si>
    <t>Effect of exchange rate changes on cash and cash equivalents</t>
  </si>
  <si>
    <t>Increase (decrease) in cash, cash equivalents and restricted cash</t>
  </si>
  <si>
    <t>Cash, cash equivalents and restricted cash at beginning of period</t>
  </si>
  <si>
    <t>Cash, cash equivalents and restricted cash at end of period</t>
  </si>
  <si>
    <t>Supplemental disclosures of cash flow information:</t>
  </si>
  <si>
    <t>Cash paid for interest</t>
  </si>
  <si>
    <t>Cash paid for income taxes</t>
  </si>
  <si>
    <t>Supplemental disclosures of non-cash activities:</t>
  </si>
  <si>
    <t>Common stock issued in acquisitions, at fair value</t>
  </si>
  <si>
    <t>Deferred payments of purchase price for acquisitions, at fair value</t>
  </si>
  <si>
    <t>Issuance of shares for payment of bonuses</t>
  </si>
  <si>
    <t>CONSOLIDATED STATEMENTS OF OPERATIONS - USD ($) shares in Thousands, $ in Thousands</t>
  </si>
  <si>
    <t>Loss from operations</t>
  </si>
  <si>
    <t>Interest Expense</t>
  </si>
  <si>
    <t>Nonoperating Income (Expense)</t>
  </si>
  <si>
    <t>Loss before income taxes</t>
  </si>
  <si>
    <t>Income tax benefit</t>
  </si>
  <si>
    <t>Net loss</t>
  </si>
  <si>
    <t>Net loss per share:</t>
  </si>
  <si>
    <t>Shares used to compute net loss per share:</t>
  </si>
  <si>
    <t>Weighted Average Number of Shares Outstanding, Basic</t>
  </si>
  <si>
    <t>CONSOLIDATED STATEMENTS OF CASH FLOWS - USD ($) shares in Thousands, $ in Thousands</t>
  </si>
  <si>
    <t>Adjustments to reconcile net loss to cash provided by operating activities:</t>
  </si>
  <si>
    <t>Provision for losses on accounts receivable</t>
  </si>
  <si>
    <t>Accretion of investment premiums</t>
  </si>
  <si>
    <t>Amortization of inventory step-up</t>
  </si>
  <si>
    <t>Amortization of debt issuance cost and accretion of discount on debt and leases</t>
  </si>
  <si>
    <t>Loss on sale of available-for-sale securities</t>
  </si>
  <si>
    <t>Gain on extinguishment of lease liabilities</t>
  </si>
  <si>
    <t>Changes in operating assets and liabilities, net of acquisitions:</t>
  </si>
  <si>
    <t>Deferred revenue and deferred profit</t>
  </si>
  <si>
    <t>Proceeds from sale of property and equipment</t>
  </si>
  <si>
    <t>Purchases of available-for-sale securities</t>
  </si>
  <si>
    <t>Maturities of available-for-sale securities</t>
  </si>
  <si>
    <t>Net proceeds from the issuance of debt</t>
  </si>
  <si>
    <t>Repurchases of common stock</t>
  </si>
  <si>
    <t>Supplemental disclosures of non-cash investing and financing activities:</t>
  </si>
  <si>
    <t>Issuance of restricted stock units to Physpeed continuing employees</t>
  </si>
  <si>
    <t>MaxLinear DCF</t>
  </si>
  <si>
    <t>Update 01/08/2023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</si>
</sst>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_(\$* #,##0_);_(\$* \(#,##0\);_(\$* \-_);_(@_)"/>
    <numFmt numFmtId="166" formatCode="\(#,##0_);[Red]\(#,##0\)"/>
    <numFmt numFmtId="167" formatCode="_(\$* #,##0.00_);_(\$* \(#,##0.00\);_(\$* \-??_);_(@_)"/>
    <numFmt numFmtId="168" formatCode="&quot;($&quot;#,##0_);[Red]&quot;($&quot;#,##0\)"/>
    <numFmt numFmtId="169" formatCode="&quot;($&quot;#,##0.00_);[Red]&quot;($&quot;#,##0.0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3" fillId="2" borderId="0" xfId="1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0" fontId="3" fillId="2" borderId="8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9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3" fontId="3" fillId="2" borderId="1" xfId="0" applyNumberFormat="1" applyFont="1" applyFill="1" applyBorder="1"/>
    <xf numFmtId="0" fontId="9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10" xfId="0" applyFont="1" applyFill="1" applyBorder="1"/>
    <xf numFmtId="0" fontId="0" fillId="2" borderId="11" xfId="0" applyFill="1" applyBorder="1"/>
    <xf numFmtId="10" fontId="2" fillId="2" borderId="12" xfId="0" applyNumberFormat="1" applyFont="1" applyFill="1" applyBorder="1"/>
    <xf numFmtId="0" fontId="0" fillId="8" borderId="0" xfId="0" applyFill="1"/>
    <xf numFmtId="0" fontId="6" fillId="8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/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Border="1" applyAlignment="1">
      <alignment horizontal="left"/>
    </xf>
    <xf numFmtId="164" fontId="3" fillId="8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3" xfId="0" applyNumberFormat="1" applyFont="1" applyFill="1" applyBorder="1"/>
    <xf numFmtId="2" fontId="0" fillId="2" borderId="0" xfId="0" applyNumberFormat="1" applyFill="1"/>
    <xf numFmtId="2" fontId="0" fillId="3" borderId="0" xfId="0" applyNumberFormat="1" applyFill="1"/>
    <xf numFmtId="2" fontId="10" fillId="10" borderId="0" xfId="0" applyNumberFormat="1" applyFont="1" applyFill="1"/>
    <xf numFmtId="2" fontId="3" fillId="2" borderId="0" xfId="0" applyNumberFormat="1" applyFont="1" applyFill="1"/>
    <xf numFmtId="1" fontId="3" fillId="2" borderId="6" xfId="0" applyNumberFormat="1" applyFont="1" applyFill="1" applyBorder="1"/>
    <xf numFmtId="0" fontId="11" fillId="0" borderId="0" xfId="0" applyFon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3" fillId="2" borderId="0" xfId="1" applyNumberFormat="1" applyFont="1" applyFill="1"/>
    <xf numFmtId="10" fontId="8" fillId="8" borderId="0" xfId="0" applyNumberFormat="1" applyFont="1" applyFill="1"/>
    <xf numFmtId="0" fontId="2" fillId="4" borderId="4" xfId="0" applyFont="1" applyFill="1" applyBorder="1"/>
    <xf numFmtId="0" fontId="2" fillId="4" borderId="0" xfId="0" applyFont="1" applyFill="1"/>
    <xf numFmtId="1" fontId="0" fillId="2" borderId="4" xfId="0" applyNumberFormat="1" applyFill="1" applyBorder="1"/>
    <xf numFmtId="164" fontId="12" fillId="2" borderId="4" xfId="1" applyNumberFormat="1" applyFont="1" applyFill="1" applyBorder="1"/>
    <xf numFmtId="164" fontId="12" fillId="2" borderId="0" xfId="1" applyNumberFormat="1" applyFont="1" applyFill="1" applyBorder="1"/>
    <xf numFmtId="0" fontId="0" fillId="2" borderId="4" xfId="0" applyFill="1" applyBorder="1"/>
    <xf numFmtId="1" fontId="0" fillId="2" borderId="14" xfId="0" applyNumberFormat="1" applyFill="1" applyBorder="1"/>
    <xf numFmtId="1" fontId="0" fillId="2" borderId="1" xfId="0" applyNumberFormat="1" applyFill="1" applyBorder="1"/>
    <xf numFmtId="10" fontId="0" fillId="2" borderId="4" xfId="1" applyNumberFormat="1" applyFont="1" applyFill="1" applyBorder="1"/>
    <xf numFmtId="3" fontId="0" fillId="2" borderId="4" xfId="0" applyNumberFormat="1" applyFill="1" applyBorder="1"/>
    <xf numFmtId="0" fontId="2" fillId="3" borderId="4" xfId="0" applyFont="1" applyFill="1" applyBorder="1"/>
    <xf numFmtId="0" fontId="7" fillId="5" borderId="0" xfId="0" applyFont="1" applyFill="1"/>
    <xf numFmtId="164" fontId="7" fillId="5" borderId="0" xfId="1" applyNumberFormat="1" applyFont="1" applyFill="1"/>
    <xf numFmtId="164" fontId="12" fillId="5" borderId="4" xfId="1" applyNumberFormat="1" applyFont="1" applyFill="1" applyBorder="1"/>
    <xf numFmtId="164" fontId="12" fillId="5" borderId="0" xfId="1" applyNumberFormat="1" applyFont="1" applyFill="1" applyBorder="1"/>
    <xf numFmtId="164" fontId="12" fillId="5" borderId="4" xfId="0" applyNumberFormat="1" applyFont="1" applyFill="1" applyBorder="1"/>
    <xf numFmtId="10" fontId="12" fillId="5" borderId="4" xfId="0" applyNumberFormat="1" applyFont="1" applyFill="1" applyBorder="1"/>
    <xf numFmtId="164" fontId="0" fillId="5" borderId="4" xfId="0" applyNumberFormat="1" applyFill="1" applyBorder="1"/>
    <xf numFmtId="0" fontId="0" fillId="7" borderId="0" xfId="0" applyNumberFormat="1" applyFill="1" applyAlignment="1">
      <alignment horizontal="right"/>
    </xf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2" fillId="5" borderId="0" xfId="0" applyNumberFormat="1" applyFont="1" applyFill="1" applyBorder="1"/>
    <xf numFmtId="3" fontId="0" fillId="2" borderId="0" xfId="0" applyNumberFormat="1" applyFill="1" applyBorder="1"/>
    <xf numFmtId="3" fontId="3" fillId="2" borderId="0" xfId="0" applyNumberFormat="1" applyFont="1" applyFill="1" applyBorder="1"/>
    <xf numFmtId="10" fontId="12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  <xf numFmtId="3" fontId="3" fillId="2" borderId="4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7"/>
  <sheetViews>
    <sheetView tabSelected="1" topLeftCell="A46" workbookViewId="0">
      <selection activeCell="L50" sqref="L50"/>
    </sheetView>
  </sheetViews>
  <sheetFormatPr defaultRowHeight="15" x14ac:dyDescent="0.25"/>
  <cols>
    <col min="1" max="1" width="9.140625" style="2"/>
    <col min="2" max="2" width="19.5703125" style="2" customWidth="1"/>
    <col min="3" max="3" width="12.85546875" style="2" bestFit="1" customWidth="1"/>
    <col min="4" max="5" width="9.140625" style="2"/>
    <col min="6" max="6" width="9.85546875" style="2" customWidth="1"/>
    <col min="7" max="8" width="10.85546875" style="2" customWidth="1"/>
    <col min="9" max="16384" width="9.140625" style="2"/>
  </cols>
  <sheetData>
    <row r="1" spans="1:86" s="49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86" s="49" customFormat="1" ht="23.25" x14ac:dyDescent="0.35">
      <c r="A2" s="3"/>
      <c r="B2" s="4" t="s">
        <v>162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8"/>
    </row>
    <row r="3" spans="1:86" s="49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86" s="49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86" s="49" customFormat="1" x14ac:dyDescent="0.25">
      <c r="A5" s="1"/>
      <c r="B5" s="1"/>
      <c r="C5" s="7" t="s">
        <v>1</v>
      </c>
      <c r="D5" s="1"/>
      <c r="E5" s="8">
        <f>WACC!K14</f>
        <v>0.1196826254205208</v>
      </c>
      <c r="F5" s="2"/>
      <c r="G5" s="1"/>
      <c r="H5" s="1" t="s">
        <v>2</v>
      </c>
      <c r="I5" s="1"/>
      <c r="J5" s="7">
        <v>24.67</v>
      </c>
      <c r="K5" s="1"/>
      <c r="L5" s="1" t="s">
        <v>3</v>
      </c>
      <c r="M5" s="1"/>
      <c r="N5" s="7">
        <f>(J6/J5)-1</f>
        <v>-0.29234198068710526</v>
      </c>
      <c r="O5" s="1"/>
      <c r="P5" s="1" t="s">
        <v>163</v>
      </c>
      <c r="Q5" s="1"/>
      <c r="R5" s="2"/>
    </row>
    <row r="6" spans="1:86" s="49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7">
        <f>D67</f>
        <v>17.457923336449113</v>
      </c>
      <c r="K6" s="1"/>
      <c r="L6" s="1"/>
      <c r="M6" s="1"/>
      <c r="N6" s="1"/>
      <c r="O6" s="1"/>
      <c r="P6" s="1"/>
      <c r="Q6" s="1"/>
      <c r="R6" s="2"/>
    </row>
    <row r="7" spans="1:86" s="49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"/>
      <c r="L7" s="1"/>
      <c r="M7" s="2"/>
      <c r="N7" s="2"/>
      <c r="O7" s="1"/>
      <c r="P7" s="1"/>
      <c r="Q7" s="1"/>
      <c r="R7" s="2"/>
    </row>
    <row r="8" spans="1:86" s="49" customFormat="1" x14ac:dyDescent="0.25">
      <c r="A8" s="1"/>
      <c r="B8" s="10"/>
      <c r="C8" s="1"/>
      <c r="D8" s="1"/>
      <c r="E8" s="35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2"/>
    </row>
    <row r="9" spans="1:86" s="49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s="49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72">
        <v>2023</v>
      </c>
      <c r="J10" s="73">
        <v>2024</v>
      </c>
      <c r="K10" s="73">
        <v>2025</v>
      </c>
      <c r="L10" s="73">
        <v>2026</v>
      </c>
      <c r="M10" s="73">
        <v>2027</v>
      </c>
      <c r="N10" s="73">
        <v>2028</v>
      </c>
      <c r="O10" s="73">
        <v>2029</v>
      </c>
      <c r="P10" s="73">
        <v>2030</v>
      </c>
      <c r="Q10" s="73">
        <v>2031</v>
      </c>
      <c r="R10" s="73">
        <v>2032</v>
      </c>
      <c r="S10" s="50">
        <v>2033</v>
      </c>
      <c r="T10" s="50">
        <v>2034</v>
      </c>
      <c r="U10" s="50">
        <v>2035</v>
      </c>
      <c r="V10" s="50">
        <v>2036</v>
      </c>
      <c r="W10" s="50">
        <v>2037</v>
      </c>
      <c r="X10" s="50">
        <v>2038</v>
      </c>
      <c r="Y10" s="50">
        <v>2039</v>
      </c>
      <c r="Z10" s="50">
        <v>2040</v>
      </c>
      <c r="AA10" s="50">
        <v>2041</v>
      </c>
      <c r="AB10" s="50">
        <v>2042</v>
      </c>
      <c r="AC10" s="50">
        <v>2043</v>
      </c>
      <c r="AD10" s="50">
        <v>2044</v>
      </c>
      <c r="AE10" s="50">
        <v>2045</v>
      </c>
      <c r="AF10" s="50">
        <v>2046</v>
      </c>
      <c r="AG10" s="50">
        <v>2047</v>
      </c>
      <c r="AH10" s="50">
        <v>2048</v>
      </c>
      <c r="AI10" s="50">
        <v>2049</v>
      </c>
      <c r="AJ10" s="50">
        <v>2050</v>
      </c>
      <c r="AK10" s="50">
        <v>2051</v>
      </c>
      <c r="AL10" s="50">
        <v>2052</v>
      </c>
      <c r="AM10" s="50">
        <v>2053</v>
      </c>
      <c r="AN10" s="50">
        <v>2054</v>
      </c>
      <c r="AO10" s="50">
        <v>2055</v>
      </c>
      <c r="AP10" s="50">
        <v>2056</v>
      </c>
      <c r="AQ10" s="50">
        <v>2057</v>
      </c>
      <c r="AR10" s="50">
        <v>2058</v>
      </c>
      <c r="AS10" s="50">
        <v>2059</v>
      </c>
      <c r="AT10" s="50">
        <v>2060</v>
      </c>
      <c r="AU10" s="50">
        <v>2061</v>
      </c>
      <c r="AV10" s="50">
        <v>2062</v>
      </c>
      <c r="AW10" s="50">
        <v>2063</v>
      </c>
      <c r="AX10" s="50">
        <v>2064</v>
      </c>
      <c r="AY10" s="50">
        <v>2065</v>
      </c>
      <c r="AZ10" s="50">
        <v>2066</v>
      </c>
      <c r="BA10" s="50">
        <v>2067</v>
      </c>
      <c r="BB10" s="50">
        <v>2068</v>
      </c>
      <c r="BC10" s="50">
        <v>2069</v>
      </c>
      <c r="BD10" s="50">
        <v>2070</v>
      </c>
      <c r="BE10" s="50">
        <v>2071</v>
      </c>
      <c r="BF10" s="50">
        <v>2072</v>
      </c>
      <c r="BG10" s="50">
        <v>2073</v>
      </c>
      <c r="BH10" s="50">
        <v>2074</v>
      </c>
      <c r="BI10" s="50">
        <v>2075</v>
      </c>
      <c r="BJ10" s="50">
        <v>2076</v>
      </c>
      <c r="BK10" s="50">
        <v>2077</v>
      </c>
      <c r="BL10" s="50">
        <v>2078</v>
      </c>
      <c r="BM10" s="50">
        <v>2079</v>
      </c>
      <c r="BN10" s="50">
        <v>2080</v>
      </c>
      <c r="BO10" s="50">
        <v>2081</v>
      </c>
      <c r="BP10" s="50">
        <v>2082</v>
      </c>
      <c r="BQ10" s="50">
        <v>2083</v>
      </c>
      <c r="BR10" s="50">
        <v>2084</v>
      </c>
      <c r="BS10" s="50">
        <v>2085</v>
      </c>
      <c r="BT10" s="50">
        <v>2086</v>
      </c>
      <c r="BU10" s="50">
        <v>2087</v>
      </c>
      <c r="BV10" s="50">
        <v>2088</v>
      </c>
      <c r="BW10" s="50">
        <v>2089</v>
      </c>
      <c r="BX10" s="50">
        <v>2090</v>
      </c>
      <c r="BY10" s="50">
        <v>2091</v>
      </c>
      <c r="BZ10" s="50">
        <v>2092</v>
      </c>
      <c r="CA10" s="50">
        <v>2093</v>
      </c>
      <c r="CB10" s="50">
        <v>2094</v>
      </c>
      <c r="CC10" s="50">
        <v>2095</v>
      </c>
      <c r="CD10" s="50">
        <v>2096</v>
      </c>
      <c r="CE10" s="50">
        <v>2097</v>
      </c>
      <c r="CF10" s="50">
        <v>2098</v>
      </c>
      <c r="CG10" s="50">
        <v>2099</v>
      </c>
      <c r="CH10" s="50">
        <v>2100</v>
      </c>
    </row>
    <row r="11" spans="1:86" s="49" customFormat="1" x14ac:dyDescent="0.25">
      <c r="A11" s="1"/>
      <c r="B11" s="1" t="s">
        <v>7</v>
      </c>
      <c r="C11" s="10">
        <f>'Raw IS'!G3</f>
        <v>420318</v>
      </c>
      <c r="D11" s="10">
        <f>'Raw IS'!H3</f>
        <v>384997</v>
      </c>
      <c r="E11" s="10">
        <f>'Raw IS'!I3</f>
        <v>317180</v>
      </c>
      <c r="F11" s="10">
        <f>'Raw IS'!B4</f>
        <v>478596</v>
      </c>
      <c r="G11" s="10">
        <f>'Raw IS'!C4</f>
        <v>892398</v>
      </c>
      <c r="H11" s="10">
        <f>'Raw IS'!D4</f>
        <v>1120252</v>
      </c>
      <c r="I11" s="74">
        <v>720300</v>
      </c>
      <c r="J11" s="91">
        <v>744000</v>
      </c>
      <c r="K11" s="91">
        <v>858200</v>
      </c>
      <c r="L11" s="91">
        <f t="shared" ref="L11" si="1">K11*(1+L12)</f>
        <v>969765.99999999988</v>
      </c>
      <c r="M11" s="91">
        <f t="shared" ref="M11" si="2">L11*(1+M12)</f>
        <v>1095835.5799999998</v>
      </c>
      <c r="N11" s="91">
        <f t="shared" ref="N11" si="3">M11*(1+N12)</f>
        <v>1238294.2053999996</v>
      </c>
      <c r="O11" s="91">
        <f t="shared" ref="O11" si="4">N11*(1+O12)</f>
        <v>1399272.4521019994</v>
      </c>
      <c r="P11" s="91">
        <f t="shared" ref="P11" si="5">O11*(1+P12)</f>
        <v>1581177.8708752592</v>
      </c>
      <c r="Q11" s="91">
        <f t="shared" ref="Q11" si="6">P11*(1+Q12)</f>
        <v>1786730.9940890428</v>
      </c>
      <c r="R11" s="91">
        <f t="shared" ref="R11" si="7">Q11*(1+R12)</f>
        <v>2019006.0233206181</v>
      </c>
    </row>
    <row r="12" spans="1:86" s="49" customFormat="1" x14ac:dyDescent="0.25">
      <c r="A12" s="1"/>
      <c r="B12" s="83" t="s">
        <v>8</v>
      </c>
      <c r="C12" s="84"/>
      <c r="D12" s="84">
        <f>(D11/C11)-1</f>
        <v>-8.4033993309827304E-2</v>
      </c>
      <c r="E12" s="84">
        <f>(E11/D11)-1</f>
        <v>-0.17614942454097049</v>
      </c>
      <c r="F12" s="84">
        <f>(F11/E11)-1</f>
        <v>0.50890976732454751</v>
      </c>
      <c r="G12" s="84">
        <f>(G11/F11)-1</f>
        <v>0.86461650327207074</v>
      </c>
      <c r="H12" s="84">
        <f>(H11/G11)-1</f>
        <v>0.25532777975746246</v>
      </c>
      <c r="I12" s="100">
        <f t="shared" ref="I12:R12" si="8">(I11/H11)-1</f>
        <v>-0.35701967057412087</v>
      </c>
      <c r="J12" s="92">
        <f t="shared" si="8"/>
        <v>3.290295710120783E-2</v>
      </c>
      <c r="K12" s="92">
        <f t="shared" si="8"/>
        <v>0.15349462365591404</v>
      </c>
      <c r="L12" s="92">
        <v>0.13</v>
      </c>
      <c r="M12" s="92">
        <v>0.13</v>
      </c>
      <c r="N12" s="92">
        <v>0.13</v>
      </c>
      <c r="O12" s="92">
        <v>0.13</v>
      </c>
      <c r="P12" s="92">
        <v>0.13</v>
      </c>
      <c r="Q12" s="92">
        <v>0.13</v>
      </c>
      <c r="R12" s="92">
        <v>0.13</v>
      </c>
    </row>
    <row r="13" spans="1:86" s="49" customFormat="1" x14ac:dyDescent="0.25">
      <c r="A13" s="1"/>
      <c r="B13" s="6"/>
      <c r="C13" s="1"/>
      <c r="D13" s="1"/>
      <c r="E13" s="1"/>
      <c r="F13" s="1"/>
      <c r="G13" s="1"/>
      <c r="H13" s="1"/>
      <c r="I13" s="77"/>
      <c r="J13" s="93"/>
      <c r="K13" s="93"/>
      <c r="L13" s="93"/>
      <c r="M13" s="93"/>
      <c r="N13" s="93"/>
      <c r="O13" s="93"/>
      <c r="P13" s="93"/>
      <c r="Q13" s="93"/>
      <c r="R13" s="93"/>
    </row>
    <row r="14" spans="1:86" s="49" customFormat="1" x14ac:dyDescent="0.25">
      <c r="A14" s="1"/>
      <c r="B14" s="1" t="s">
        <v>9</v>
      </c>
      <c r="C14" s="10">
        <f>'Raw IS'!G4</f>
        <v>212355</v>
      </c>
      <c r="D14" s="10">
        <f>'Raw IS'!H4</f>
        <v>176223</v>
      </c>
      <c r="E14" s="10">
        <f>'Raw IS'!I4</f>
        <v>149495</v>
      </c>
      <c r="F14" s="10">
        <f>'Raw IS'!B5</f>
        <v>265798</v>
      </c>
      <c r="G14" s="10">
        <f>'Raw IS'!C5</f>
        <v>396566</v>
      </c>
      <c r="H14" s="10">
        <f>'Raw IS'!D5</f>
        <v>470483</v>
      </c>
      <c r="I14" s="78">
        <f>I11-I16</f>
        <v>282861.81000000006</v>
      </c>
      <c r="J14" s="79">
        <f t="shared" ref="J14:K14" si="9">J11-J16</f>
        <v>288672</v>
      </c>
      <c r="K14" s="79">
        <f t="shared" si="9"/>
        <v>320966.80000000005</v>
      </c>
      <c r="L14" s="38">
        <f t="shared" ref="L14:R14" si="10">L11-L16</f>
        <v>360752.95199999993</v>
      </c>
      <c r="M14" s="79">
        <f t="shared" si="10"/>
        <v>405459.1645999999</v>
      </c>
      <c r="N14" s="79">
        <f t="shared" si="10"/>
        <v>455692.26758719981</v>
      </c>
      <c r="O14" s="79">
        <f t="shared" si="10"/>
        <v>512133.71746933181</v>
      </c>
      <c r="P14" s="79">
        <f t="shared" si="10"/>
        <v>575548.74499859428</v>
      </c>
      <c r="Q14" s="79">
        <f t="shared" si="10"/>
        <v>646796.61986023351</v>
      </c>
      <c r="R14" s="79">
        <f t="shared" si="10"/>
        <v>726842.1683954224</v>
      </c>
    </row>
    <row r="15" spans="1:86" s="49" customFormat="1" x14ac:dyDescent="0.25">
      <c r="A15" s="1"/>
      <c r="B15" s="16"/>
      <c r="C15" s="16"/>
      <c r="D15" s="16"/>
      <c r="E15" s="16"/>
      <c r="F15" s="16"/>
      <c r="G15" s="16"/>
      <c r="H15" s="16"/>
      <c r="I15" s="77"/>
      <c r="J15" s="93"/>
      <c r="K15" s="93"/>
      <c r="L15" s="93"/>
      <c r="M15" s="93"/>
      <c r="N15" s="93"/>
      <c r="O15" s="93"/>
      <c r="P15" s="93"/>
      <c r="Q15" s="93"/>
      <c r="R15" s="93"/>
    </row>
    <row r="16" spans="1:86" s="49" customFormat="1" x14ac:dyDescent="0.25">
      <c r="A16" s="1"/>
      <c r="B16" s="1" t="s">
        <v>10</v>
      </c>
      <c r="C16" s="10">
        <f t="shared" ref="C16:H16" si="11">C11-C14</f>
        <v>207963</v>
      </c>
      <c r="D16" s="10">
        <f t="shared" si="11"/>
        <v>208774</v>
      </c>
      <c r="E16" s="10">
        <f t="shared" si="11"/>
        <v>167685</v>
      </c>
      <c r="F16" s="10">
        <f t="shared" si="11"/>
        <v>212798</v>
      </c>
      <c r="G16" s="10">
        <f t="shared" si="11"/>
        <v>495832</v>
      </c>
      <c r="H16" s="10">
        <f t="shared" si="11"/>
        <v>649769</v>
      </c>
      <c r="I16" s="74">
        <f>I11*I17</f>
        <v>437438.18999999994</v>
      </c>
      <c r="J16" s="91">
        <f t="shared" ref="J16:R16" si="12">J11*J17</f>
        <v>455328</v>
      </c>
      <c r="K16" s="91">
        <f t="shared" si="12"/>
        <v>537233.19999999995</v>
      </c>
      <c r="L16" s="91">
        <f t="shared" si="12"/>
        <v>609013.04799999995</v>
      </c>
      <c r="M16" s="91">
        <f t="shared" si="12"/>
        <v>690376.41539999994</v>
      </c>
      <c r="N16" s="91">
        <f t="shared" si="12"/>
        <v>782601.93781279982</v>
      </c>
      <c r="O16" s="91">
        <f t="shared" si="12"/>
        <v>887138.73463266762</v>
      </c>
      <c r="P16" s="91">
        <f t="shared" si="12"/>
        <v>1005629.1258766649</v>
      </c>
      <c r="Q16" s="91">
        <f t="shared" si="12"/>
        <v>1139934.3742288093</v>
      </c>
      <c r="R16" s="91">
        <f t="shared" si="12"/>
        <v>1292163.8549251957</v>
      </c>
    </row>
    <row r="17" spans="1:18" s="49" customFormat="1" x14ac:dyDescent="0.25">
      <c r="A17" s="1"/>
      <c r="B17" s="83" t="s">
        <v>11</v>
      </c>
      <c r="C17" s="84">
        <f t="shared" ref="C17:H17" si="13">C16/C11</f>
        <v>0.49477538435184787</v>
      </c>
      <c r="D17" s="84">
        <f t="shared" si="13"/>
        <v>0.54227435538458746</v>
      </c>
      <c r="E17" s="84">
        <f t="shared" si="13"/>
        <v>0.52867456964499648</v>
      </c>
      <c r="F17" s="84">
        <f t="shared" si="13"/>
        <v>0.44462970856421702</v>
      </c>
      <c r="G17" s="84">
        <f t="shared" si="13"/>
        <v>0.55561756077445268</v>
      </c>
      <c r="H17" s="84">
        <f t="shared" si="13"/>
        <v>0.58002038826978219</v>
      </c>
      <c r="I17" s="87">
        <v>0.60729999999999995</v>
      </c>
      <c r="J17" s="94">
        <v>0.61199999999999999</v>
      </c>
      <c r="K17" s="94">
        <v>0.626</v>
      </c>
      <c r="L17" s="94">
        <f>K17+0.2%</f>
        <v>0.628</v>
      </c>
      <c r="M17" s="94">
        <f t="shared" ref="M17:R17" si="14">L17+0.2%</f>
        <v>0.63</v>
      </c>
      <c r="N17" s="94">
        <f t="shared" si="14"/>
        <v>0.63200000000000001</v>
      </c>
      <c r="O17" s="94">
        <f t="shared" si="14"/>
        <v>0.63400000000000001</v>
      </c>
      <c r="P17" s="94">
        <f t="shared" si="14"/>
        <v>0.63600000000000001</v>
      </c>
      <c r="Q17" s="94">
        <f t="shared" si="14"/>
        <v>0.63800000000000001</v>
      </c>
      <c r="R17" s="94">
        <f t="shared" si="14"/>
        <v>0.64</v>
      </c>
    </row>
    <row r="18" spans="1:18" s="49" customFormat="1" x14ac:dyDescent="0.25">
      <c r="A18" s="1"/>
      <c r="B18" s="6"/>
      <c r="C18" s="1"/>
      <c r="D18" s="1"/>
      <c r="E18" s="1"/>
      <c r="F18" s="1"/>
      <c r="G18" s="1"/>
      <c r="H18" s="1"/>
      <c r="I18" s="77"/>
      <c r="J18" s="93"/>
      <c r="K18" s="93"/>
      <c r="L18" s="93"/>
      <c r="M18" s="93"/>
      <c r="N18" s="93"/>
      <c r="O18" s="93"/>
      <c r="P18" s="93"/>
      <c r="Q18" s="93"/>
      <c r="R18" s="93"/>
    </row>
    <row r="19" spans="1:18" s="49" customFormat="1" x14ac:dyDescent="0.25">
      <c r="A19" s="1"/>
      <c r="B19" s="1" t="s">
        <v>12</v>
      </c>
      <c r="C19" s="10">
        <f>'Raw IS'!G7</f>
        <v>112279</v>
      </c>
      <c r="D19" s="10">
        <f>'Raw IS'!H7</f>
        <v>120046</v>
      </c>
      <c r="E19" s="10">
        <f>'Raw IS'!I7</f>
        <v>98344</v>
      </c>
      <c r="F19" s="10">
        <f>'Raw IS'!B8</f>
        <v>179993</v>
      </c>
      <c r="G19" s="10">
        <f>'Raw IS'!C8</f>
        <v>278440</v>
      </c>
      <c r="H19" s="10">
        <f>'Raw IS'!D8</f>
        <v>296442</v>
      </c>
      <c r="I19" s="74">
        <v>311688.02650729642</v>
      </c>
      <c r="J19" s="91">
        <v>296232.14804903028</v>
      </c>
      <c r="K19" s="91">
        <v>288387.31862595741</v>
      </c>
      <c r="L19" s="91">
        <f>L20*L11</f>
        <v>320059.07404733187</v>
      </c>
      <c r="M19" s="91">
        <f t="shared" ref="M19:R19" si="15">M20*M11</f>
        <v>355091.74019348499</v>
      </c>
      <c r="N19" s="91">
        <f t="shared" si="15"/>
        <v>393823.90118623798</v>
      </c>
      <c r="O19" s="91">
        <f t="shared" si="15"/>
        <v>436625.37362783687</v>
      </c>
      <c r="P19" s="91">
        <f t="shared" si="15"/>
        <v>483899.60497420403</v>
      </c>
      <c r="Q19" s="91">
        <f t="shared" si="15"/>
        <v>536086.16765631619</v>
      </c>
      <c r="R19" s="91">
        <f t="shared" si="15"/>
        <v>593663.33331171353</v>
      </c>
    </row>
    <row r="20" spans="1:18" s="49" customFormat="1" x14ac:dyDescent="0.25">
      <c r="A20" s="1"/>
      <c r="B20" s="83" t="s">
        <v>19</v>
      </c>
      <c r="C20" s="84">
        <f>C19/C11</f>
        <v>0.26712869779547865</v>
      </c>
      <c r="D20" s="84">
        <f t="shared" ref="D20:R20" si="16">D19/D11</f>
        <v>0.31181022189783297</v>
      </c>
      <c r="E20" s="84">
        <f t="shared" si="16"/>
        <v>0.31005738066712907</v>
      </c>
      <c r="F20" s="84">
        <f t="shared" si="16"/>
        <v>0.37608546665663733</v>
      </c>
      <c r="G20" s="84">
        <f t="shared" si="16"/>
        <v>0.3120132496935224</v>
      </c>
      <c r="H20" s="84">
        <f t="shared" si="16"/>
        <v>0.2646208174589289</v>
      </c>
      <c r="I20" s="100">
        <f t="shared" si="16"/>
        <v>0.43271973692530391</v>
      </c>
      <c r="J20" s="92">
        <f t="shared" si="16"/>
        <v>0.39816148931321271</v>
      </c>
      <c r="K20" s="92">
        <f t="shared" si="16"/>
        <v>0.33603742557207811</v>
      </c>
      <c r="L20" s="92">
        <f>K20-0.6%</f>
        <v>0.3300374255720781</v>
      </c>
      <c r="M20" s="92">
        <f t="shared" ref="M20:R20" si="17">L20-0.6%</f>
        <v>0.3240374255720781</v>
      </c>
      <c r="N20" s="92">
        <f t="shared" si="17"/>
        <v>0.31803742557207809</v>
      </c>
      <c r="O20" s="92">
        <f t="shared" si="17"/>
        <v>0.31203742557207809</v>
      </c>
      <c r="P20" s="92">
        <f t="shared" si="17"/>
        <v>0.30603742557207808</v>
      </c>
      <c r="Q20" s="92">
        <f t="shared" si="17"/>
        <v>0.30003742557207808</v>
      </c>
      <c r="R20" s="92">
        <f t="shared" si="17"/>
        <v>0.29403742557207807</v>
      </c>
    </row>
    <row r="21" spans="1:18" s="49" customFormat="1" x14ac:dyDescent="0.25">
      <c r="A21" s="1"/>
      <c r="B21" s="1"/>
      <c r="C21" s="10"/>
      <c r="D21" s="10"/>
      <c r="E21" s="10"/>
      <c r="F21" s="10"/>
      <c r="G21" s="10"/>
      <c r="H21" s="10"/>
      <c r="I21" s="74"/>
      <c r="J21" s="91"/>
      <c r="K21" s="91"/>
      <c r="L21" s="91"/>
      <c r="M21" s="91"/>
      <c r="N21" s="91"/>
      <c r="O21" s="91"/>
      <c r="P21" s="91"/>
      <c r="Q21" s="91"/>
      <c r="R21" s="91"/>
    </row>
    <row r="22" spans="1:18" s="49" customFormat="1" x14ac:dyDescent="0.25">
      <c r="A22" s="1"/>
      <c r="B22" s="1" t="s">
        <v>53</v>
      </c>
      <c r="C22" s="10">
        <f>'Raw IS'!G8</f>
        <v>105831</v>
      </c>
      <c r="D22" s="10">
        <f>'Raw IS'!H8</f>
        <v>101789</v>
      </c>
      <c r="E22" s="10">
        <f>'Raw IS'!I8</f>
        <v>88762</v>
      </c>
      <c r="F22" s="10">
        <f>'Raw IS'!B9</f>
        <v>130025</v>
      </c>
      <c r="G22" s="10">
        <f>'Raw IS'!C9</f>
        <v>149943</v>
      </c>
      <c r="H22" s="10">
        <f>'Raw IS'!D9</f>
        <v>168008</v>
      </c>
      <c r="I22" s="74">
        <v>176648.65962798073</v>
      </c>
      <c r="J22" s="91">
        <v>167889.06676321666</v>
      </c>
      <c r="K22" s="91">
        <v>163443.02301195462</v>
      </c>
      <c r="L22" s="91">
        <f>L23*L11</f>
        <v>184826.83831446126</v>
      </c>
      <c r="M22" s="91">
        <f t="shared" ref="M22:R22" si="18">M23*M11</f>
        <v>208854.32729534121</v>
      </c>
      <c r="N22" s="91">
        <f t="shared" si="18"/>
        <v>236005.38984373555</v>
      </c>
      <c r="O22" s="91">
        <f t="shared" si="18"/>
        <v>266686.09052342112</v>
      </c>
      <c r="P22" s="91">
        <f t="shared" si="18"/>
        <v>301355.28229146585</v>
      </c>
      <c r="Q22" s="91">
        <f t="shared" si="18"/>
        <v>340531.46898935636</v>
      </c>
      <c r="R22" s="91">
        <f t="shared" si="18"/>
        <v>384800.55995797267</v>
      </c>
    </row>
    <row r="23" spans="1:18" s="49" customFormat="1" x14ac:dyDescent="0.25">
      <c r="A23" s="1"/>
      <c r="B23" s="83" t="s">
        <v>19</v>
      </c>
      <c r="C23" s="84">
        <f>C22/C11</f>
        <v>0.25178793199434713</v>
      </c>
      <c r="D23" s="84">
        <f t="shared" ref="D23:R23" si="19">D22/D11</f>
        <v>0.26438907316160903</v>
      </c>
      <c r="E23" s="84">
        <f t="shared" si="19"/>
        <v>0.27984740525884355</v>
      </c>
      <c r="F23" s="84">
        <f t="shared" si="19"/>
        <v>0.27168008090330886</v>
      </c>
      <c r="G23" s="84">
        <f t="shared" si="19"/>
        <v>0.16802256392327192</v>
      </c>
      <c r="H23" s="84">
        <f t="shared" si="19"/>
        <v>0.14997339884240332</v>
      </c>
      <c r="I23" s="100">
        <f t="shared" si="19"/>
        <v>0.24524317593777695</v>
      </c>
      <c r="J23" s="92">
        <f t="shared" si="19"/>
        <v>0.22565734780002239</v>
      </c>
      <c r="K23" s="92">
        <f t="shared" si="19"/>
        <v>0.19044864019104477</v>
      </c>
      <c r="L23" s="92">
        <v>0.19058910944955926</v>
      </c>
      <c r="M23" s="92">
        <v>0.19058910944955926</v>
      </c>
      <c r="N23" s="92">
        <v>0.19058910944955926</v>
      </c>
      <c r="O23" s="92">
        <v>0.19058910944955926</v>
      </c>
      <c r="P23" s="92">
        <v>0.19058910944955926</v>
      </c>
      <c r="Q23" s="92">
        <v>0.19058910944955926</v>
      </c>
      <c r="R23" s="92">
        <v>0.19058910944955926</v>
      </c>
    </row>
    <row r="24" spans="1:18" s="49" customFormat="1" x14ac:dyDescent="0.25">
      <c r="A24" s="1"/>
      <c r="B24" s="1"/>
      <c r="C24" s="18"/>
      <c r="D24" s="18"/>
      <c r="E24" s="18"/>
      <c r="F24" s="18"/>
      <c r="G24" s="18"/>
      <c r="H24" s="18"/>
      <c r="I24" s="80"/>
      <c r="J24" s="91"/>
      <c r="K24" s="91"/>
      <c r="L24" s="91"/>
      <c r="M24" s="91"/>
      <c r="N24" s="91"/>
      <c r="O24" s="91"/>
      <c r="P24" s="91"/>
      <c r="Q24" s="91"/>
      <c r="R24" s="91"/>
    </row>
    <row r="25" spans="1:18" s="49" customFormat="1" x14ac:dyDescent="0.25">
      <c r="A25" s="1"/>
      <c r="B25" s="1" t="s">
        <v>13</v>
      </c>
      <c r="C25" s="10">
        <f>SUM('Raw IS'!G9:G10)</f>
        <v>11524</v>
      </c>
      <c r="D25" s="10">
        <f>SUM('Raw IS'!H9:H10)</f>
        <v>6036</v>
      </c>
      <c r="E25" s="10">
        <f>SUM('Raw IS'!I9:I10)</f>
        <v>2636</v>
      </c>
      <c r="F25" s="10">
        <f>SUM('Raw IS'!B10:B11)</f>
        <v>3919</v>
      </c>
      <c r="G25" s="10">
        <f>SUM('Raw IS'!C10:C11)</f>
        <v>2204</v>
      </c>
      <c r="H25" s="10">
        <f>SUM('Raw IS'!D10:D11)</f>
        <v>5076</v>
      </c>
      <c r="I25" s="81">
        <v>5337.0589273822088</v>
      </c>
      <c r="J25" s="95">
        <v>5072.4066883129835</v>
      </c>
      <c r="K25" s="95">
        <v>4938.0790486684064</v>
      </c>
      <c r="L25" s="95">
        <f>L26*L11</f>
        <v>5584.144988835088</v>
      </c>
      <c r="M25" s="95">
        <f t="shared" ref="M25:R25" si="20">M26*M11</f>
        <v>6310.0838373836486</v>
      </c>
      <c r="N25" s="95">
        <f t="shared" si="20"/>
        <v>7130.3947362435219</v>
      </c>
      <c r="O25" s="95">
        <f t="shared" si="20"/>
        <v>8057.3460519551791</v>
      </c>
      <c r="P25" s="95">
        <f t="shared" si="20"/>
        <v>9104.8010387093509</v>
      </c>
      <c r="Q25" s="95">
        <f t="shared" si="20"/>
        <v>10288.425173741567</v>
      </c>
      <c r="R25" s="95">
        <f t="shared" si="20"/>
        <v>11625.920446327969</v>
      </c>
    </row>
    <row r="26" spans="1:18" s="49" customFormat="1" x14ac:dyDescent="0.25">
      <c r="A26" s="1"/>
      <c r="B26" s="83" t="s">
        <v>19</v>
      </c>
      <c r="C26" s="84">
        <f>C25/C11</f>
        <v>2.7417336397679851E-2</v>
      </c>
      <c r="D26" s="84">
        <f t="shared" ref="D26:R26" si="21">D25/D11</f>
        <v>1.5678044244500606E-2</v>
      </c>
      <c r="E26" s="84">
        <f t="shared" si="21"/>
        <v>8.3107383819912978E-3</v>
      </c>
      <c r="F26" s="84">
        <f t="shared" si="21"/>
        <v>8.1885347976163609E-3</v>
      </c>
      <c r="G26" s="84">
        <f t="shared" si="21"/>
        <v>2.4697500442627616E-3</v>
      </c>
      <c r="H26" s="84">
        <f t="shared" si="21"/>
        <v>4.5311233543881202E-3</v>
      </c>
      <c r="I26" s="100">
        <f t="shared" si="21"/>
        <v>7.4094945541888224E-3</v>
      </c>
      <c r="J26" s="92">
        <f t="shared" si="21"/>
        <v>6.8177509251518597E-3</v>
      </c>
      <c r="K26" s="92">
        <f t="shared" si="21"/>
        <v>5.7539956288375745E-3</v>
      </c>
      <c r="L26" s="92">
        <v>5.7582396050543001E-3</v>
      </c>
      <c r="M26" s="92">
        <v>5.7582396050543001E-3</v>
      </c>
      <c r="N26" s="92">
        <v>5.7582396050543001E-3</v>
      </c>
      <c r="O26" s="92">
        <v>5.7582396050543001E-3</v>
      </c>
      <c r="P26" s="92">
        <v>5.7582396050543001E-3</v>
      </c>
      <c r="Q26" s="92">
        <v>5.7582396050543001E-3</v>
      </c>
      <c r="R26" s="92">
        <v>5.7582396050543001E-3</v>
      </c>
    </row>
    <row r="27" spans="1:18" s="49" customFormat="1" x14ac:dyDescent="0.25">
      <c r="A27" s="1"/>
      <c r="B27" s="1"/>
      <c r="C27" s="10"/>
      <c r="D27" s="10"/>
      <c r="E27" s="10"/>
      <c r="F27" s="10"/>
      <c r="G27" s="10"/>
      <c r="H27" s="10"/>
      <c r="I27" s="81"/>
      <c r="J27" s="95"/>
      <c r="K27" s="95"/>
      <c r="L27" s="95"/>
      <c r="M27" s="95"/>
      <c r="N27" s="95"/>
      <c r="O27" s="95"/>
      <c r="P27" s="95"/>
      <c r="Q27" s="95"/>
      <c r="R27" s="95"/>
    </row>
    <row r="28" spans="1:18" s="49" customFormat="1" x14ac:dyDescent="0.25">
      <c r="A28" s="1"/>
      <c r="B28" s="1" t="s">
        <v>14</v>
      </c>
      <c r="C28" s="10">
        <f>C19+C22+C25</f>
        <v>229634</v>
      </c>
      <c r="D28" s="10">
        <f t="shared" ref="C28:R28" si="22">D19+D22+D25</f>
        <v>227871</v>
      </c>
      <c r="E28" s="10">
        <f t="shared" si="22"/>
        <v>189742</v>
      </c>
      <c r="F28" s="10">
        <f t="shared" si="22"/>
        <v>313937</v>
      </c>
      <c r="G28" s="10">
        <f t="shared" si="22"/>
        <v>430587</v>
      </c>
      <c r="H28" s="10">
        <f t="shared" si="22"/>
        <v>469526</v>
      </c>
      <c r="I28" s="101">
        <f t="shared" si="22"/>
        <v>493673.74506265938</v>
      </c>
      <c r="J28" s="96">
        <f t="shared" si="22"/>
        <v>469193.62150055997</v>
      </c>
      <c r="K28" s="96">
        <f t="shared" si="22"/>
        <v>456768.42068658042</v>
      </c>
      <c r="L28" s="96">
        <f t="shared" si="22"/>
        <v>510470.05735062819</v>
      </c>
      <c r="M28" s="96">
        <f t="shared" si="22"/>
        <v>570256.15132620989</v>
      </c>
      <c r="N28" s="96">
        <f t="shared" si="22"/>
        <v>636959.68576621707</v>
      </c>
      <c r="O28" s="96">
        <f t="shared" si="22"/>
        <v>711368.81020321313</v>
      </c>
      <c r="P28" s="96">
        <f t="shared" si="22"/>
        <v>794359.68830437923</v>
      </c>
      <c r="Q28" s="96">
        <f t="shared" si="22"/>
        <v>886906.06181941414</v>
      </c>
      <c r="R28" s="96">
        <f t="shared" si="22"/>
        <v>990089.81371601427</v>
      </c>
    </row>
    <row r="29" spans="1:18" s="49" customFormat="1" x14ac:dyDescent="0.25">
      <c r="A29" s="1"/>
      <c r="B29" s="83" t="s">
        <v>19</v>
      </c>
      <c r="C29" s="84">
        <f t="shared" ref="C29:R29" si="23">C28/C11</f>
        <v>0.54633396618750563</v>
      </c>
      <c r="D29" s="84">
        <f t="shared" si="23"/>
        <v>0.5918773393039426</v>
      </c>
      <c r="E29" s="84">
        <f t="shared" si="23"/>
        <v>0.59821552430796399</v>
      </c>
      <c r="F29" s="84">
        <f t="shared" si="23"/>
        <v>0.65595408235756258</v>
      </c>
      <c r="G29" s="84">
        <f t="shared" si="23"/>
        <v>0.48250556366105707</v>
      </c>
      <c r="H29" s="84">
        <f t="shared" si="23"/>
        <v>0.4191253396557203</v>
      </c>
      <c r="I29" s="100">
        <f t="shared" ref="I29" si="24">I28/I11</f>
        <v>0.68537240741726968</v>
      </c>
      <c r="J29" s="92">
        <f t="shared" ref="J29" si="25">J28/J11</f>
        <v>0.63063658803838707</v>
      </c>
      <c r="K29" s="92">
        <f t="shared" ref="K29" si="26">K28/K11</f>
        <v>0.53224006139196045</v>
      </c>
      <c r="L29" s="86">
        <f t="shared" si="23"/>
        <v>0.52638477462669164</v>
      </c>
      <c r="M29" s="86">
        <f t="shared" si="23"/>
        <v>0.52038477462669164</v>
      </c>
      <c r="N29" s="86">
        <f t="shared" si="23"/>
        <v>0.51438477462669163</v>
      </c>
      <c r="O29" s="86">
        <f t="shared" si="23"/>
        <v>0.50838477462669163</v>
      </c>
      <c r="P29" s="86">
        <f t="shared" si="23"/>
        <v>0.50238477462669162</v>
      </c>
      <c r="Q29" s="86">
        <f t="shared" si="23"/>
        <v>0.49638477462669162</v>
      </c>
      <c r="R29" s="86">
        <f t="shared" si="23"/>
        <v>0.49038477462669167</v>
      </c>
    </row>
    <row r="30" spans="1:18" s="49" customFormat="1" x14ac:dyDescent="0.25">
      <c r="A30" s="1"/>
      <c r="B30" s="1"/>
      <c r="C30" s="13"/>
      <c r="D30" s="13"/>
      <c r="E30" s="13"/>
      <c r="F30" s="13"/>
      <c r="G30" s="13"/>
      <c r="H30" s="13"/>
      <c r="I30" s="75"/>
      <c r="J30" s="76"/>
      <c r="K30" s="76"/>
      <c r="L30" s="76"/>
      <c r="M30" s="76"/>
      <c r="N30" s="76"/>
      <c r="O30" s="76"/>
      <c r="P30" s="76"/>
      <c r="Q30" s="76"/>
      <c r="R30" s="76"/>
    </row>
    <row r="31" spans="1:18" s="49" customFormat="1" x14ac:dyDescent="0.25">
      <c r="A31" s="1"/>
      <c r="B31" s="1" t="s">
        <v>15</v>
      </c>
      <c r="C31" s="10">
        <f>C16-C28</f>
        <v>-21671</v>
      </c>
      <c r="D31" s="10">
        <f t="shared" ref="C31:R31" si="27">D16-D28</f>
        <v>-19097</v>
      </c>
      <c r="E31" s="10">
        <f t="shared" si="27"/>
        <v>-22057</v>
      </c>
      <c r="F31" s="10">
        <f t="shared" si="27"/>
        <v>-101139</v>
      </c>
      <c r="G31" s="10">
        <f t="shared" si="27"/>
        <v>65245</v>
      </c>
      <c r="H31" s="10">
        <f t="shared" si="27"/>
        <v>180243</v>
      </c>
      <c r="I31" s="81">
        <f t="shared" si="27"/>
        <v>-56235.555062659434</v>
      </c>
      <c r="J31" s="95">
        <f t="shared" si="27"/>
        <v>-13865.621500559966</v>
      </c>
      <c r="K31" s="95">
        <f t="shared" si="27"/>
        <v>80464.779313419538</v>
      </c>
      <c r="L31" s="95">
        <f t="shared" si="27"/>
        <v>98542.990649371757</v>
      </c>
      <c r="M31" s="95">
        <f t="shared" si="27"/>
        <v>120120.26407379005</v>
      </c>
      <c r="N31" s="95">
        <f t="shared" si="27"/>
        <v>145642.25204658275</v>
      </c>
      <c r="O31" s="95">
        <f t="shared" si="27"/>
        <v>175769.92442945449</v>
      </c>
      <c r="P31" s="95">
        <f t="shared" si="27"/>
        <v>211269.43757228565</v>
      </c>
      <c r="Q31" s="95">
        <f t="shared" si="27"/>
        <v>253028.31240939512</v>
      </c>
      <c r="R31" s="95">
        <f t="shared" si="27"/>
        <v>302074.04120918142</v>
      </c>
    </row>
    <row r="32" spans="1:18" s="49" customFormat="1" x14ac:dyDescent="0.25">
      <c r="A32" s="1"/>
      <c r="B32" s="1" t="s">
        <v>16</v>
      </c>
      <c r="C32" s="70">
        <f>SUM('Raw IS'!G13:G15)</f>
        <v>-12327</v>
      </c>
      <c r="D32" s="70">
        <f>SUM('Raw IS'!H13:H15)</f>
        <v>-13755</v>
      </c>
      <c r="E32" s="70">
        <f>SUM('Raw IS'!I13:I15)</f>
        <v>-10427</v>
      </c>
      <c r="F32" s="70">
        <f>SUM('Raw IS'!B14:B17)</f>
        <v>-13713</v>
      </c>
      <c r="G32" s="70">
        <f>SUM('Raw IS'!C14:C17)</f>
        <v>-17375</v>
      </c>
      <c r="H32" s="70">
        <f>SUM('Raw IS'!D14:D17)</f>
        <v>-6045</v>
      </c>
      <c r="I32" s="77">
        <f>I33*I11</f>
        <v>-5762.4000000000005</v>
      </c>
      <c r="J32" s="93">
        <f t="shared" ref="J32:R32" si="28">J33*J11</f>
        <v>-8928</v>
      </c>
      <c r="K32" s="93">
        <f t="shared" si="28"/>
        <v>-12873</v>
      </c>
      <c r="L32" s="93">
        <f t="shared" si="28"/>
        <v>-17455.787999999997</v>
      </c>
      <c r="M32" s="93">
        <f t="shared" si="28"/>
        <v>-21916.711599999999</v>
      </c>
      <c r="N32" s="93">
        <f t="shared" si="28"/>
        <v>-30957.355134999991</v>
      </c>
      <c r="O32" s="93">
        <f t="shared" si="28"/>
        <v>-34981.811302549984</v>
      </c>
      <c r="P32" s="93">
        <f t="shared" si="28"/>
        <v>-39529.446771881485</v>
      </c>
      <c r="Q32" s="93">
        <f t="shared" si="28"/>
        <v>-44668.274852226074</v>
      </c>
      <c r="R32" s="93">
        <f t="shared" si="28"/>
        <v>-50475.150583015457</v>
      </c>
    </row>
    <row r="33" spans="1:86" s="49" customFormat="1" x14ac:dyDescent="0.25">
      <c r="A33" s="1"/>
      <c r="B33" s="83" t="s">
        <v>19</v>
      </c>
      <c r="C33" s="84">
        <f>C32/C11</f>
        <v>-2.9327794669750048E-2</v>
      </c>
      <c r="D33" s="84">
        <f t="shared" ref="D33:H33" si="29">D32/D11</f>
        <v>-3.5727551123774993E-2</v>
      </c>
      <c r="E33" s="84">
        <f t="shared" si="29"/>
        <v>-3.2874077810706857E-2</v>
      </c>
      <c r="F33" s="84">
        <f t="shared" si="29"/>
        <v>-2.8652558734297822E-2</v>
      </c>
      <c r="G33" s="84">
        <f t="shared" si="29"/>
        <v>-1.9470012259104122E-2</v>
      </c>
      <c r="H33" s="84">
        <f t="shared" si="29"/>
        <v>-5.3961073044279323E-3</v>
      </c>
      <c r="I33" s="87">
        <v>-8.0000000000000002E-3</v>
      </c>
      <c r="J33" s="94">
        <v>-1.2E-2</v>
      </c>
      <c r="K33" s="94">
        <v>-1.4999999999999999E-2</v>
      </c>
      <c r="L33" s="94">
        <v>-1.7999999999999999E-2</v>
      </c>
      <c r="M33" s="94">
        <v>-0.02</v>
      </c>
      <c r="N33" s="94">
        <v>-2.5000000000000001E-2</v>
      </c>
      <c r="O33" s="94">
        <v>-2.5000000000000001E-2</v>
      </c>
      <c r="P33" s="94">
        <v>-2.5000000000000001E-2</v>
      </c>
      <c r="Q33" s="94">
        <v>-2.5000000000000001E-2</v>
      </c>
      <c r="R33" s="94">
        <v>-2.5000000000000001E-2</v>
      </c>
    </row>
    <row r="34" spans="1:86" s="49" customFormat="1" x14ac:dyDescent="0.25">
      <c r="A34" s="1"/>
      <c r="B34" s="1"/>
      <c r="C34" s="19"/>
      <c r="D34" s="19"/>
      <c r="E34" s="19"/>
      <c r="F34" s="19"/>
      <c r="G34" s="19"/>
      <c r="H34" s="19"/>
      <c r="I34" s="77"/>
      <c r="J34" s="93"/>
      <c r="K34" s="93"/>
      <c r="L34" s="93"/>
      <c r="M34" s="93"/>
      <c r="N34" s="93"/>
      <c r="O34" s="93"/>
      <c r="P34" s="93"/>
      <c r="Q34" s="93"/>
      <c r="R34" s="93"/>
    </row>
    <row r="35" spans="1:86" s="49" customFormat="1" x14ac:dyDescent="0.25">
      <c r="A35" s="1"/>
      <c r="B35" s="1" t="s">
        <v>17</v>
      </c>
      <c r="C35" s="10">
        <f>C31+C32</f>
        <v>-33998</v>
      </c>
      <c r="D35" s="10">
        <f t="shared" ref="D35:R35" si="30">D31+D32</f>
        <v>-32852</v>
      </c>
      <c r="E35" s="10">
        <f t="shared" si="30"/>
        <v>-32484</v>
      </c>
      <c r="F35" s="10">
        <f t="shared" si="30"/>
        <v>-114852</v>
      </c>
      <c r="G35" s="10">
        <f t="shared" si="30"/>
        <v>47870</v>
      </c>
      <c r="H35" s="10">
        <f t="shared" si="30"/>
        <v>174198</v>
      </c>
      <c r="I35" s="81">
        <f t="shared" si="30"/>
        <v>-61997.955062659435</v>
      </c>
      <c r="J35" s="95">
        <f t="shared" si="30"/>
        <v>-22793.621500559966</v>
      </c>
      <c r="K35" s="95">
        <f t="shared" si="30"/>
        <v>67591.779313419538</v>
      </c>
      <c r="L35" s="95">
        <f t="shared" si="30"/>
        <v>81087.202649371757</v>
      </c>
      <c r="M35" s="95">
        <f t="shared" si="30"/>
        <v>98203.552473790056</v>
      </c>
      <c r="N35" s="95">
        <f t="shared" si="30"/>
        <v>114684.89691158276</v>
      </c>
      <c r="O35" s="95">
        <f t="shared" si="30"/>
        <v>140788.1131269045</v>
      </c>
      <c r="P35" s="95">
        <f t="shared" si="30"/>
        <v>171739.99080040416</v>
      </c>
      <c r="Q35" s="95">
        <f t="shared" si="30"/>
        <v>208360.03755716904</v>
      </c>
      <c r="R35" s="95">
        <f t="shared" si="30"/>
        <v>251598.89062616596</v>
      </c>
    </row>
    <row r="36" spans="1:86" s="49" customFormat="1" x14ac:dyDescent="0.25">
      <c r="A36" s="1"/>
      <c r="B36" s="1"/>
      <c r="C36" s="19"/>
      <c r="D36" s="19"/>
      <c r="E36" s="19"/>
      <c r="F36" s="19"/>
      <c r="G36" s="19"/>
      <c r="H36" s="19"/>
      <c r="I36" s="77"/>
      <c r="J36" s="93"/>
      <c r="K36" s="93"/>
      <c r="L36" s="93"/>
      <c r="M36" s="93"/>
      <c r="N36" s="93"/>
      <c r="O36" s="93"/>
      <c r="P36" s="93"/>
      <c r="Q36" s="93"/>
      <c r="R36" s="93"/>
    </row>
    <row r="37" spans="1:86" s="49" customFormat="1" x14ac:dyDescent="0.25">
      <c r="A37" s="1"/>
      <c r="B37" s="1" t="s">
        <v>18</v>
      </c>
      <c r="C37" s="10">
        <f t="shared" ref="C37:H37" si="31">C31</f>
        <v>-21671</v>
      </c>
      <c r="D37" s="10">
        <f t="shared" si="31"/>
        <v>-19097</v>
      </c>
      <c r="E37" s="10">
        <f t="shared" si="31"/>
        <v>-22057</v>
      </c>
      <c r="F37" s="10">
        <f t="shared" si="31"/>
        <v>-101139</v>
      </c>
      <c r="G37" s="10">
        <f t="shared" si="31"/>
        <v>65245</v>
      </c>
      <c r="H37" s="10">
        <f t="shared" si="31"/>
        <v>180243</v>
      </c>
      <c r="I37" s="81">
        <v>-56235.555062659419</v>
      </c>
      <c r="J37" s="95">
        <v>-13865.62150055991</v>
      </c>
      <c r="K37" s="95">
        <v>80464.779313419524</v>
      </c>
      <c r="L37" s="95">
        <f t="shared" ref="I37:R37" si="32">L31</f>
        <v>98542.990649371757</v>
      </c>
      <c r="M37" s="95">
        <f t="shared" si="32"/>
        <v>120120.26407379005</v>
      </c>
      <c r="N37" s="95">
        <f t="shared" si="32"/>
        <v>145642.25204658275</v>
      </c>
      <c r="O37" s="95">
        <f t="shared" si="32"/>
        <v>175769.92442945449</v>
      </c>
      <c r="P37" s="95">
        <f t="shared" si="32"/>
        <v>211269.43757228565</v>
      </c>
      <c r="Q37" s="95">
        <f t="shared" si="32"/>
        <v>253028.31240939512</v>
      </c>
      <c r="R37" s="95">
        <f t="shared" si="32"/>
        <v>302074.04120918142</v>
      </c>
    </row>
    <row r="38" spans="1:86" s="49" customFormat="1" x14ac:dyDescent="0.25">
      <c r="A38" s="1"/>
      <c r="B38" s="83" t="s">
        <v>19</v>
      </c>
      <c r="C38" s="84">
        <f t="shared" ref="C38:R38" si="33">C37/C11</f>
        <v>-5.1558581835657764E-2</v>
      </c>
      <c r="D38" s="84">
        <f t="shared" si="33"/>
        <v>-4.9602983919355213E-2</v>
      </c>
      <c r="E38" s="84">
        <f t="shared" si="33"/>
        <v>-6.9540954662967405E-2</v>
      </c>
      <c r="F38" s="84">
        <f t="shared" si="33"/>
        <v>-0.21132437379334554</v>
      </c>
      <c r="G38" s="84">
        <f t="shared" si="33"/>
        <v>7.3111997113395596E-2</v>
      </c>
      <c r="H38" s="84">
        <f t="shared" si="33"/>
        <v>0.16089504861406184</v>
      </c>
      <c r="I38" s="85">
        <f t="shared" si="33"/>
        <v>-7.8072407417269771E-2</v>
      </c>
      <c r="J38" s="86">
        <f t="shared" si="33"/>
        <v>-1.8636588038386977E-2</v>
      </c>
      <c r="K38" s="86">
        <f t="shared" si="33"/>
        <v>9.3759938608039523E-2</v>
      </c>
      <c r="L38" s="86">
        <f t="shared" si="33"/>
        <v>0.10161522537330837</v>
      </c>
      <c r="M38" s="86">
        <f t="shared" si="33"/>
        <v>0.10961522537330835</v>
      </c>
      <c r="N38" s="86">
        <f t="shared" si="33"/>
        <v>0.11761522537330836</v>
      </c>
      <c r="O38" s="86">
        <f t="shared" si="33"/>
        <v>0.12561522537330835</v>
      </c>
      <c r="P38" s="86">
        <f t="shared" si="33"/>
        <v>0.13361522537330839</v>
      </c>
      <c r="Q38" s="86">
        <f t="shared" si="33"/>
        <v>0.1416152253733084</v>
      </c>
      <c r="R38" s="86">
        <f t="shared" si="33"/>
        <v>0.1496152253733084</v>
      </c>
    </row>
    <row r="39" spans="1:86" s="49" customFormat="1" x14ac:dyDescent="0.25">
      <c r="A39" s="1"/>
      <c r="B39" s="12"/>
      <c r="C39" s="1"/>
      <c r="D39" s="1"/>
      <c r="E39" s="1"/>
      <c r="F39" s="2"/>
      <c r="G39" s="1"/>
      <c r="H39" s="1"/>
      <c r="I39" s="77"/>
      <c r="J39" s="93"/>
      <c r="K39" s="93"/>
      <c r="L39" s="93"/>
      <c r="M39" s="93"/>
      <c r="N39" s="93"/>
      <c r="O39" s="93"/>
      <c r="P39" s="93"/>
      <c r="Q39" s="93"/>
      <c r="R39" s="93"/>
    </row>
    <row r="40" spans="1:86" s="49" customFormat="1" x14ac:dyDescent="0.25">
      <c r="A40" s="1"/>
      <c r="B40" s="1" t="s">
        <v>20</v>
      </c>
      <c r="C40" s="17">
        <f>'Raw IS'!G18</f>
        <v>-24811</v>
      </c>
      <c r="D40" s="17">
        <f>'Raw IS'!H18</f>
        <v>-6653</v>
      </c>
      <c r="E40" s="17">
        <f>'Raw IS'!I18</f>
        <v>-12586</v>
      </c>
      <c r="F40" s="20">
        <f>'Raw IS'!B20</f>
        <v>-16259</v>
      </c>
      <c r="G40" s="20">
        <f>'Raw IS'!C20</f>
        <v>5901</v>
      </c>
      <c r="H40" s="20">
        <f>'Raw IS'!D20</f>
        <v>49158</v>
      </c>
      <c r="I40" s="74">
        <f>I41*I37</f>
        <v>-5527.9550626594209</v>
      </c>
      <c r="J40" s="91">
        <f t="shared" ref="J40:R40" si="34">J41*J37</f>
        <v>-1483.6215005599104</v>
      </c>
      <c r="K40" s="91">
        <f t="shared" si="34"/>
        <v>8271.7793134195272</v>
      </c>
      <c r="L40" s="91">
        <f t="shared" si="34"/>
        <v>10130.219438755417</v>
      </c>
      <c r="M40" s="91">
        <f t="shared" si="34"/>
        <v>12348.363146785618</v>
      </c>
      <c r="N40" s="91">
        <f t="shared" si="34"/>
        <v>14972.023510388708</v>
      </c>
      <c r="O40" s="91">
        <f t="shared" si="34"/>
        <v>18069.148231347921</v>
      </c>
      <c r="P40" s="91">
        <f t="shared" si="34"/>
        <v>21718.498182430965</v>
      </c>
      <c r="Q40" s="91">
        <f t="shared" si="34"/>
        <v>26011.310515685818</v>
      </c>
      <c r="R40" s="91">
        <f t="shared" si="34"/>
        <v>31053.211436303853</v>
      </c>
    </row>
    <row r="41" spans="1:86" s="49" customFormat="1" x14ac:dyDescent="0.25">
      <c r="A41" s="1"/>
      <c r="B41" s="83" t="s">
        <v>21</v>
      </c>
      <c r="C41" s="84">
        <f>C40/C37</f>
        <v>1.1448940981034563</v>
      </c>
      <c r="D41" s="84">
        <f>D40/D37</f>
        <v>0.3483793265958004</v>
      </c>
      <c r="E41" s="84">
        <f t="shared" ref="E41:H41" si="35">E40/E37</f>
        <v>0.57061250396699459</v>
      </c>
      <c r="F41" s="84">
        <f t="shared" si="35"/>
        <v>0.16075895549689043</v>
      </c>
      <c r="G41" s="84">
        <f t="shared" si="35"/>
        <v>9.0443712161851486E-2</v>
      </c>
      <c r="H41" s="84">
        <f t="shared" si="35"/>
        <v>0.27273181205372748</v>
      </c>
      <c r="I41" s="88">
        <v>9.8299999999999998E-2</v>
      </c>
      <c r="J41" s="97">
        <v>0.107</v>
      </c>
      <c r="K41" s="97">
        <v>0.1028</v>
      </c>
      <c r="L41" s="97">
        <v>0.1028</v>
      </c>
      <c r="M41" s="97">
        <v>0.1028</v>
      </c>
      <c r="N41" s="97">
        <v>0.1028</v>
      </c>
      <c r="O41" s="97">
        <v>0.1028</v>
      </c>
      <c r="P41" s="97">
        <v>0.1028</v>
      </c>
      <c r="Q41" s="97">
        <v>0.1028</v>
      </c>
      <c r="R41" s="97">
        <v>0.1028</v>
      </c>
      <c r="S41" s="71"/>
    </row>
    <row r="42" spans="1:86" s="49" customFormat="1" x14ac:dyDescent="0.25">
      <c r="A42" s="1"/>
      <c r="B42" s="1"/>
      <c r="C42" s="1"/>
      <c r="D42" s="1"/>
      <c r="E42" s="1"/>
      <c r="F42" s="1"/>
      <c r="G42" s="1"/>
      <c r="H42" s="1"/>
      <c r="I42" s="77"/>
      <c r="J42" s="93"/>
      <c r="K42" s="93"/>
      <c r="L42" s="93"/>
      <c r="M42" s="93"/>
      <c r="N42" s="93"/>
      <c r="O42" s="93"/>
      <c r="P42" s="93"/>
      <c r="Q42" s="93"/>
      <c r="R42" s="93"/>
    </row>
    <row r="43" spans="1:86" s="49" customFormat="1" x14ac:dyDescent="0.25">
      <c r="A43" s="1"/>
      <c r="B43" s="9" t="s">
        <v>22</v>
      </c>
      <c r="C43" s="9">
        <v>2018</v>
      </c>
      <c r="D43" s="9">
        <v>2019</v>
      </c>
      <c r="E43" s="9">
        <v>2020</v>
      </c>
      <c r="F43" s="9">
        <v>2021</v>
      </c>
      <c r="G43" s="9">
        <v>2022</v>
      </c>
      <c r="H43" s="9">
        <v>2023</v>
      </c>
      <c r="I43" s="82">
        <v>2023</v>
      </c>
      <c r="J43" s="98">
        <v>2024</v>
      </c>
      <c r="K43" s="98">
        <v>2025</v>
      </c>
      <c r="L43" s="98">
        <v>2026</v>
      </c>
      <c r="M43" s="98">
        <v>2027</v>
      </c>
      <c r="N43" s="98">
        <v>2028</v>
      </c>
      <c r="O43" s="98">
        <v>2029</v>
      </c>
      <c r="P43" s="98">
        <v>2030</v>
      </c>
      <c r="Q43" s="98">
        <v>2031</v>
      </c>
      <c r="R43" s="98">
        <v>2032</v>
      </c>
      <c r="S43" s="50">
        <v>2033</v>
      </c>
      <c r="T43" s="50">
        <v>2034</v>
      </c>
      <c r="U43" s="50">
        <v>2035</v>
      </c>
      <c r="V43" s="50">
        <v>2036</v>
      </c>
      <c r="W43" s="50">
        <v>2037</v>
      </c>
      <c r="X43" s="50">
        <v>2038</v>
      </c>
      <c r="Y43" s="50">
        <v>2039</v>
      </c>
      <c r="Z43" s="50">
        <v>2040</v>
      </c>
      <c r="AA43" s="50">
        <v>2041</v>
      </c>
      <c r="AB43" s="50">
        <v>2042</v>
      </c>
      <c r="AC43" s="50">
        <v>2043</v>
      </c>
      <c r="AD43" s="50">
        <v>2044</v>
      </c>
      <c r="AE43" s="50">
        <v>2045</v>
      </c>
      <c r="AF43" s="50">
        <v>2046</v>
      </c>
      <c r="AG43" s="50">
        <v>2047</v>
      </c>
      <c r="AH43" s="50">
        <v>2048</v>
      </c>
      <c r="AI43" s="50">
        <v>2049</v>
      </c>
      <c r="AJ43" s="50">
        <v>2050</v>
      </c>
      <c r="AK43" s="50">
        <v>2051</v>
      </c>
      <c r="AL43" s="50">
        <v>2052</v>
      </c>
      <c r="AM43" s="50">
        <v>2053</v>
      </c>
      <c r="AN43" s="50">
        <v>2054</v>
      </c>
      <c r="AO43" s="50">
        <v>2055</v>
      </c>
      <c r="AP43" s="50">
        <v>2056</v>
      </c>
      <c r="AQ43" s="50">
        <v>2057</v>
      </c>
      <c r="AR43" s="50">
        <v>2058</v>
      </c>
      <c r="AS43" s="50">
        <v>2059</v>
      </c>
      <c r="AT43" s="50">
        <v>2060</v>
      </c>
      <c r="AU43" s="50">
        <v>2061</v>
      </c>
      <c r="AV43" s="50">
        <v>2062</v>
      </c>
      <c r="AW43" s="50">
        <v>2063</v>
      </c>
      <c r="AX43" s="50">
        <v>2064</v>
      </c>
      <c r="AY43" s="50">
        <v>2065</v>
      </c>
      <c r="AZ43" s="50">
        <v>2066</v>
      </c>
      <c r="BA43" s="50">
        <v>2067</v>
      </c>
      <c r="BB43" s="50">
        <v>2068</v>
      </c>
      <c r="BC43" s="50">
        <v>2069</v>
      </c>
      <c r="BD43" s="50">
        <v>2070</v>
      </c>
      <c r="BE43" s="50">
        <v>2071</v>
      </c>
      <c r="BF43" s="50">
        <v>2072</v>
      </c>
      <c r="BG43" s="50">
        <v>2073</v>
      </c>
      <c r="BH43" s="50">
        <v>2074</v>
      </c>
      <c r="BI43" s="50">
        <v>2075</v>
      </c>
      <c r="BJ43" s="50">
        <v>2076</v>
      </c>
      <c r="BK43" s="50">
        <v>2077</v>
      </c>
      <c r="BL43" s="50">
        <v>2078</v>
      </c>
      <c r="BM43" s="50">
        <v>2079</v>
      </c>
      <c r="BN43" s="50">
        <v>2080</v>
      </c>
      <c r="BO43" s="50">
        <v>2081</v>
      </c>
      <c r="BP43" s="50">
        <v>2082</v>
      </c>
      <c r="BQ43" s="50">
        <v>2083</v>
      </c>
      <c r="BR43" s="50">
        <v>2084</v>
      </c>
      <c r="BS43" s="50">
        <v>2085</v>
      </c>
      <c r="BT43" s="50">
        <v>2086</v>
      </c>
      <c r="BU43" s="50">
        <v>2087</v>
      </c>
      <c r="BV43" s="50">
        <v>2088</v>
      </c>
      <c r="BW43" s="50">
        <v>2089</v>
      </c>
      <c r="BX43" s="50">
        <v>2090</v>
      </c>
      <c r="BY43" s="50">
        <v>2091</v>
      </c>
      <c r="BZ43" s="50">
        <v>2092</v>
      </c>
      <c r="CA43" s="50">
        <v>2093</v>
      </c>
      <c r="CB43" s="50">
        <v>2094</v>
      </c>
      <c r="CC43" s="50">
        <v>2095</v>
      </c>
      <c r="CD43" s="50">
        <v>2096</v>
      </c>
      <c r="CE43" s="50">
        <v>2097</v>
      </c>
      <c r="CF43" s="50">
        <v>2098</v>
      </c>
      <c r="CG43" s="50">
        <v>2099</v>
      </c>
      <c r="CH43" s="50">
        <v>2100</v>
      </c>
    </row>
    <row r="44" spans="1:86" s="49" customFormat="1" x14ac:dyDescent="0.25">
      <c r="A44" s="1"/>
      <c r="B44" s="1" t="s">
        <v>23</v>
      </c>
      <c r="C44" s="10">
        <f>'Raw CF'!G6</f>
        <v>66738</v>
      </c>
      <c r="D44" s="10">
        <f>'Raw CF'!H6</f>
        <v>79027</v>
      </c>
      <c r="E44" s="10">
        <f>'Raw CF'!I6</f>
        <v>66401</v>
      </c>
      <c r="F44" s="20">
        <f>'Raw CF'!B6</f>
        <v>76513</v>
      </c>
      <c r="G44" s="20">
        <f>'Raw CF'!C6</f>
        <v>91792</v>
      </c>
      <c r="H44" s="20">
        <f>'Raw CF'!D6</f>
        <v>80731</v>
      </c>
      <c r="I44" s="74">
        <v>69060</v>
      </c>
      <c r="J44" s="91">
        <v>67990</v>
      </c>
      <c r="K44" s="91">
        <v>47230</v>
      </c>
      <c r="L44" s="91">
        <f t="shared" ref="L44:M44" si="36">L45*L11</f>
        <v>53337.13</v>
      </c>
      <c r="M44" s="91">
        <f t="shared" si="36"/>
        <v>60270.95689999999</v>
      </c>
      <c r="N44" s="91">
        <f>N45*N11</f>
        <v>68106.181296999974</v>
      </c>
      <c r="O44" s="91">
        <f>O45*O11</f>
        <v>76959.984865609964</v>
      </c>
      <c r="P44" s="91">
        <f>P45*P11</f>
        <v>86964.782898139252</v>
      </c>
      <c r="Q44" s="91">
        <f>Q45*Q11</f>
        <v>98270.204674897352</v>
      </c>
      <c r="R44" s="91">
        <f>R45*R11</f>
        <v>111045.331282634</v>
      </c>
    </row>
    <row r="45" spans="1:86" s="49" customFormat="1" x14ac:dyDescent="0.25">
      <c r="A45" s="1"/>
      <c r="B45" s="83" t="s">
        <v>19</v>
      </c>
      <c r="C45" s="84">
        <f t="shared" ref="C45:H45" si="37">C44/C11</f>
        <v>0.15877978102293977</v>
      </c>
      <c r="D45" s="84">
        <f t="shared" si="37"/>
        <v>0.20526653454442503</v>
      </c>
      <c r="E45" s="84">
        <f t="shared" si="37"/>
        <v>0.2093480042877861</v>
      </c>
      <c r="F45" s="84">
        <f t="shared" si="37"/>
        <v>0.15986970221230432</v>
      </c>
      <c r="G45" s="84">
        <f t="shared" si="37"/>
        <v>0.10285993469281643</v>
      </c>
      <c r="H45" s="84">
        <f t="shared" si="37"/>
        <v>7.206503536704241E-2</v>
      </c>
      <c r="I45" s="100">
        <f t="shared" ref="I45" si="38">I44/I11</f>
        <v>9.5876718034152431E-2</v>
      </c>
      <c r="J45" s="92">
        <f t="shared" ref="J45" si="39">J44/J11</f>
        <v>9.1384408602150538E-2</v>
      </c>
      <c r="K45" s="92">
        <f t="shared" ref="K45" si="40">K44/K11</f>
        <v>5.5033791656956418E-2</v>
      </c>
      <c r="L45" s="86">
        <v>5.5E-2</v>
      </c>
      <c r="M45" s="86">
        <v>5.5E-2</v>
      </c>
      <c r="N45" s="86">
        <v>5.5E-2</v>
      </c>
      <c r="O45" s="86">
        <v>5.5E-2</v>
      </c>
      <c r="P45" s="86">
        <v>5.5E-2</v>
      </c>
      <c r="Q45" s="86">
        <v>5.5E-2</v>
      </c>
      <c r="R45" s="86">
        <v>5.5E-2</v>
      </c>
    </row>
    <row r="46" spans="1:86" s="49" customFormat="1" x14ac:dyDescent="0.25">
      <c r="A46" s="1"/>
      <c r="B46" s="1"/>
      <c r="C46" s="1"/>
      <c r="D46" s="1"/>
      <c r="E46" s="1"/>
      <c r="F46" s="2"/>
      <c r="G46" s="1"/>
      <c r="H46" s="1"/>
      <c r="I46" s="77"/>
      <c r="J46" s="93"/>
      <c r="K46" s="93"/>
      <c r="L46" s="93"/>
      <c r="M46" s="93"/>
      <c r="N46" s="93"/>
      <c r="O46" s="93"/>
      <c r="P46" s="93"/>
      <c r="Q46" s="93"/>
      <c r="R46" s="93"/>
    </row>
    <row r="47" spans="1:86" s="49" customFormat="1" x14ac:dyDescent="0.25">
      <c r="A47" s="1"/>
      <c r="B47" s="1" t="s">
        <v>24</v>
      </c>
      <c r="C47" s="10">
        <f>'Raw CF'!G34</f>
        <v>-7468</v>
      </c>
      <c r="D47" s="10">
        <f>'Raw CF'!H34</f>
        <v>-7825</v>
      </c>
      <c r="E47" s="10">
        <f>'Raw CF'!I34</f>
        <v>-6887</v>
      </c>
      <c r="F47" s="20">
        <f>'Raw CF'!B32</f>
        <v>-12487</v>
      </c>
      <c r="G47" s="20">
        <f>'Raw CF'!C32</f>
        <v>-39176</v>
      </c>
      <c r="H47" s="20">
        <f>'Raw CF'!D32</f>
        <v>-41253</v>
      </c>
      <c r="I47" s="74">
        <v>-19850</v>
      </c>
      <c r="J47" s="91">
        <v>-22480</v>
      </c>
      <c r="K47" s="91">
        <v>-28580</v>
      </c>
      <c r="L47" s="91">
        <f t="shared" ref="L47:Q47" si="41">L48*L11</f>
        <v>-32002.277999999998</v>
      </c>
      <c r="M47" s="91">
        <f t="shared" si="41"/>
        <v>-36162.574139999997</v>
      </c>
      <c r="N47" s="91">
        <f t="shared" si="41"/>
        <v>-40863.708778199987</v>
      </c>
      <c r="O47" s="91">
        <f t="shared" si="41"/>
        <v>-46175.990919365984</v>
      </c>
      <c r="P47" s="91">
        <f t="shared" si="41"/>
        <v>-52178.869738883557</v>
      </c>
      <c r="Q47" s="91">
        <f t="shared" si="41"/>
        <v>-58962.122804938415</v>
      </c>
      <c r="R47" s="91">
        <f>R48*R11</f>
        <v>-66627.198769580398</v>
      </c>
    </row>
    <row r="48" spans="1:86" s="49" customFormat="1" x14ac:dyDescent="0.25">
      <c r="A48" s="1"/>
      <c r="B48" s="83" t="s">
        <v>19</v>
      </c>
      <c r="C48" s="84">
        <f t="shared" ref="C48:H48" si="42">C47/C11</f>
        <v>-1.7767499845355184E-2</v>
      </c>
      <c r="D48" s="84">
        <f t="shared" si="42"/>
        <v>-2.0324833700002858E-2</v>
      </c>
      <c r="E48" s="84">
        <f t="shared" si="42"/>
        <v>-2.1713222775710951E-2</v>
      </c>
      <c r="F48" s="84">
        <f t="shared" si="42"/>
        <v>-2.6090899213532918E-2</v>
      </c>
      <c r="G48" s="84">
        <f t="shared" si="42"/>
        <v>-4.3899694979146073E-2</v>
      </c>
      <c r="H48" s="84">
        <f t="shared" si="42"/>
        <v>-3.6824750145502974E-2</v>
      </c>
      <c r="I48" s="85">
        <f t="shared" ref="I48:M48" si="43">I47/I11</f>
        <v>-2.7557961960294322E-2</v>
      </c>
      <c r="J48" s="86">
        <f t="shared" si="43"/>
        <v>-3.0215053763440861E-2</v>
      </c>
      <c r="K48" s="86">
        <f t="shared" si="43"/>
        <v>-3.3302260545327429E-2</v>
      </c>
      <c r="L48" s="86">
        <v>-3.3000000000000002E-2</v>
      </c>
      <c r="M48" s="86">
        <v>-3.3000000000000002E-2</v>
      </c>
      <c r="N48" s="86">
        <v>-3.3000000000000002E-2</v>
      </c>
      <c r="O48" s="86">
        <v>-3.3000000000000002E-2</v>
      </c>
      <c r="P48" s="86">
        <v>-3.3000000000000002E-2</v>
      </c>
      <c r="Q48" s="86">
        <v>-3.3000000000000002E-2</v>
      </c>
      <c r="R48" s="86">
        <v>-3.3000000000000002E-2</v>
      </c>
    </row>
    <row r="49" spans="1:86" s="49" customFormat="1" x14ac:dyDescent="0.25">
      <c r="A49" s="1"/>
      <c r="B49" s="1"/>
      <c r="C49" s="1"/>
      <c r="D49" s="1"/>
      <c r="E49" s="1"/>
      <c r="F49" s="2"/>
      <c r="G49" s="1"/>
      <c r="H49" s="1"/>
      <c r="I49" s="77"/>
      <c r="J49" s="93"/>
      <c r="K49" s="93"/>
      <c r="L49" s="93"/>
      <c r="M49" s="93"/>
      <c r="N49" s="93"/>
      <c r="O49" s="93"/>
      <c r="P49" s="93"/>
      <c r="Q49" s="93"/>
      <c r="R49" s="93"/>
    </row>
    <row r="50" spans="1:86" s="49" customFormat="1" x14ac:dyDescent="0.25">
      <c r="A50" s="1"/>
      <c r="B50" s="1" t="s">
        <v>25</v>
      </c>
      <c r="C50" s="20">
        <f>SUM('Raw CF'!G22:G31)</f>
        <v>-5581</v>
      </c>
      <c r="D50" s="20">
        <f>SUM('Raw CF'!H22:H31)</f>
        <v>28610</v>
      </c>
      <c r="E50" s="20">
        <f>SUM('Raw CF'!I22:I31)</f>
        <v>16914</v>
      </c>
      <c r="F50" s="2">
        <f>SUM('Raw CF'!B21:B29)</f>
        <v>28893</v>
      </c>
      <c r="G50" s="2">
        <f>SUM('Raw CF'!C21:C29)</f>
        <v>-24279</v>
      </c>
      <c r="H50" s="2">
        <f>SUM('Raw CF'!D21:D29)</f>
        <v>86028</v>
      </c>
      <c r="I50" s="74">
        <f t="shared" ref="I50:R50" si="44">I51*I11</f>
        <v>14406</v>
      </c>
      <c r="J50" s="91">
        <f t="shared" si="44"/>
        <v>14880</v>
      </c>
      <c r="K50" s="91">
        <f t="shared" si="44"/>
        <v>17164</v>
      </c>
      <c r="L50" s="91">
        <f t="shared" si="44"/>
        <v>19395.32</v>
      </c>
      <c r="M50" s="91">
        <f t="shared" si="44"/>
        <v>21916.711599999999</v>
      </c>
      <c r="N50" s="91">
        <f t="shared" si="44"/>
        <v>24765.884107999995</v>
      </c>
      <c r="O50" s="91">
        <f t="shared" si="44"/>
        <v>27985.449042039989</v>
      </c>
      <c r="P50" s="91">
        <f t="shared" si="44"/>
        <v>31623.557417505184</v>
      </c>
      <c r="Q50" s="91">
        <f t="shared" si="44"/>
        <v>35734.619881780854</v>
      </c>
      <c r="R50" s="91">
        <f t="shared" si="44"/>
        <v>40380.120466412365</v>
      </c>
    </row>
    <row r="51" spans="1:86" s="49" customFormat="1" x14ac:dyDescent="0.25">
      <c r="A51" s="1"/>
      <c r="B51" s="83" t="s">
        <v>19</v>
      </c>
      <c r="C51" s="84">
        <f t="shared" ref="C51:H51" si="45">C50/C11</f>
        <v>-1.3278041863541415E-2</v>
      </c>
      <c r="D51" s="84">
        <f t="shared" si="45"/>
        <v>7.4312267368317156E-2</v>
      </c>
      <c r="E51" s="84">
        <f t="shared" si="45"/>
        <v>5.3326187023141437E-2</v>
      </c>
      <c r="F51" s="84">
        <f t="shared" si="45"/>
        <v>6.0370333224682195E-2</v>
      </c>
      <c r="G51" s="84">
        <f t="shared" si="45"/>
        <v>-2.7206470655469869E-2</v>
      </c>
      <c r="H51" s="84">
        <f t="shared" si="45"/>
        <v>7.6793435762667686E-2</v>
      </c>
      <c r="I51" s="89">
        <v>0.02</v>
      </c>
      <c r="J51" s="99">
        <v>0.02</v>
      </c>
      <c r="K51" s="99">
        <v>0.02</v>
      </c>
      <c r="L51" s="99">
        <v>0.02</v>
      </c>
      <c r="M51" s="99">
        <v>0.02</v>
      </c>
      <c r="N51" s="99">
        <v>0.02</v>
      </c>
      <c r="O51" s="99">
        <v>0.02</v>
      </c>
      <c r="P51" s="99">
        <v>0.02</v>
      </c>
      <c r="Q51" s="99">
        <v>0.02</v>
      </c>
      <c r="R51" s="99">
        <v>0.02</v>
      </c>
    </row>
    <row r="52" spans="1:86" s="49" customFormat="1" x14ac:dyDescent="0.25">
      <c r="A52" s="1"/>
      <c r="B52" s="1"/>
      <c r="C52" s="1"/>
      <c r="D52" s="1"/>
      <c r="E52" s="1"/>
      <c r="F52" s="1"/>
      <c r="G52" s="1"/>
      <c r="H52" s="1"/>
      <c r="I52" s="77"/>
      <c r="J52" s="93"/>
      <c r="K52" s="93"/>
      <c r="L52" s="93"/>
      <c r="M52" s="93"/>
      <c r="N52" s="93"/>
      <c r="O52" s="93"/>
      <c r="P52" s="93"/>
      <c r="Q52" s="93"/>
      <c r="R52" s="93"/>
    </row>
    <row r="53" spans="1:86" s="49" customFormat="1" x14ac:dyDescent="0.25">
      <c r="A53" s="1"/>
      <c r="B53" s="9" t="s">
        <v>26</v>
      </c>
      <c r="C53" s="10">
        <f>C37-C40</f>
        <v>3140</v>
      </c>
      <c r="D53" s="10">
        <f t="shared" ref="D53:H53" si="46">D37-D40</f>
        <v>-12444</v>
      </c>
      <c r="E53" s="10">
        <f t="shared" si="46"/>
        <v>-9471</v>
      </c>
      <c r="F53" s="10">
        <f t="shared" si="46"/>
        <v>-84880</v>
      </c>
      <c r="G53" s="10">
        <f t="shared" si="46"/>
        <v>59344</v>
      </c>
      <c r="H53" s="10">
        <f>H37-H40</f>
        <v>131085</v>
      </c>
      <c r="I53" s="101">
        <f t="shared" ref="I53:R53" si="47">I37-I40</f>
        <v>-50707.6</v>
      </c>
      <c r="J53" s="96">
        <f t="shared" si="47"/>
        <v>-12382</v>
      </c>
      <c r="K53" s="96">
        <f t="shared" si="47"/>
        <v>72193</v>
      </c>
      <c r="L53" s="96">
        <f t="shared" si="47"/>
        <v>88412.771210616338</v>
      </c>
      <c r="M53" s="96">
        <f t="shared" si="47"/>
        <v>107771.90092700443</v>
      </c>
      <c r="N53" s="96">
        <f t="shared" si="47"/>
        <v>130670.22853619404</v>
      </c>
      <c r="O53" s="96">
        <f t="shared" si="47"/>
        <v>157700.77619810659</v>
      </c>
      <c r="P53" s="96">
        <f t="shared" si="47"/>
        <v>189550.93938985467</v>
      </c>
      <c r="Q53" s="96">
        <f t="shared" si="47"/>
        <v>227017.0018937093</v>
      </c>
      <c r="R53" s="96">
        <f t="shared" si="47"/>
        <v>271020.82977287757</v>
      </c>
    </row>
    <row r="54" spans="1:86" s="49" customFormat="1" x14ac:dyDescent="0.25">
      <c r="A54" s="1"/>
      <c r="B54" s="9" t="s">
        <v>27</v>
      </c>
      <c r="C54" s="10">
        <f t="shared" ref="C54:G54" si="48">C35-C40</f>
        <v>-9187</v>
      </c>
      <c r="D54" s="10">
        <f t="shared" si="48"/>
        <v>-26199</v>
      </c>
      <c r="E54" s="10">
        <f t="shared" si="48"/>
        <v>-19898</v>
      </c>
      <c r="F54" s="10">
        <f t="shared" si="48"/>
        <v>-98593</v>
      </c>
      <c r="G54" s="10">
        <f t="shared" si="48"/>
        <v>41969</v>
      </c>
      <c r="H54" s="10">
        <f>H35-H40</f>
        <v>125040</v>
      </c>
      <c r="I54" s="101">
        <f t="shared" ref="I54:R54" si="49">I35-I40</f>
        <v>-56470.000000000015</v>
      </c>
      <c r="J54" s="96">
        <f t="shared" si="49"/>
        <v>-21310.000000000055</v>
      </c>
      <c r="K54" s="96">
        <f t="shared" si="49"/>
        <v>59320.000000000015</v>
      </c>
      <c r="L54" s="96">
        <f t="shared" si="49"/>
        <v>70956.983210616338</v>
      </c>
      <c r="M54" s="96">
        <f t="shared" si="49"/>
        <v>85855.189327004438</v>
      </c>
      <c r="N54" s="96">
        <f t="shared" si="49"/>
        <v>99712.873401194054</v>
      </c>
      <c r="O54" s="96">
        <f t="shared" si="49"/>
        <v>122718.96489555658</v>
      </c>
      <c r="P54" s="96">
        <f t="shared" si="49"/>
        <v>150021.49261797318</v>
      </c>
      <c r="Q54" s="96">
        <f t="shared" si="49"/>
        <v>182348.72704148322</v>
      </c>
      <c r="R54" s="96">
        <f t="shared" si="49"/>
        <v>220545.6791898621</v>
      </c>
      <c r="S54" s="57">
        <f>R54*(1+E6)</f>
        <v>227162.04956555797</v>
      </c>
      <c r="T54" s="57">
        <f>S54*(1+E6)</f>
        <v>233976.91105252472</v>
      </c>
      <c r="U54" s="57">
        <f>T54*(1+E6)</f>
        <v>240996.21838410047</v>
      </c>
      <c r="V54" s="57">
        <f>U54*(1+E6)</f>
        <v>248226.1049356235</v>
      </c>
      <c r="W54" s="57">
        <f>V54*(1+E6)</f>
        <v>255672.8880836922</v>
      </c>
      <c r="X54" s="57">
        <f>W54*(1+E6)</f>
        <v>263343.07472620299</v>
      </c>
      <c r="Y54" s="57">
        <f>X54*(1+E6)</f>
        <v>271243.36696798907</v>
      </c>
      <c r="Z54" s="57">
        <f>Y54*(1+E6)</f>
        <v>279380.66797702876</v>
      </c>
      <c r="AA54" s="57">
        <f>Z54*(1+E6)</f>
        <v>287762.08801633964</v>
      </c>
      <c r="AB54" s="57">
        <f>AA54*(1+E6)</f>
        <v>296394.95065682981</v>
      </c>
      <c r="AC54" s="57">
        <f>AB54*(1+E6)</f>
        <v>305286.7991765347</v>
      </c>
      <c r="AD54" s="57">
        <f>AC54*(1+E6)</f>
        <v>314445.40315183072</v>
      </c>
      <c r="AE54" s="57">
        <f>AD54*(1+E6)</f>
        <v>323878.76524638565</v>
      </c>
      <c r="AF54" s="57">
        <f>AE54*(1+E6)</f>
        <v>333595.12820377725</v>
      </c>
      <c r="AG54" s="57">
        <f>AF54*(1+E6)</f>
        <v>343602.98204989056</v>
      </c>
      <c r="AH54" s="57">
        <f>AG54*(1+E6)</f>
        <v>353911.0715113873</v>
      </c>
      <c r="AI54" s="57">
        <f>AH54*(1+E6)</f>
        <v>364528.40365672891</v>
      </c>
      <c r="AJ54" s="57">
        <f>AI54*(1+E6)</f>
        <v>375464.25576643081</v>
      </c>
      <c r="AK54" s="57">
        <f>AJ54*(1+E6)</f>
        <v>386728.18343942374</v>
      </c>
      <c r="AL54" s="57">
        <f>AK54*(1+E6)</f>
        <v>398330.02894260647</v>
      </c>
      <c r="AM54" s="57">
        <f>AL54*(1+E6)</f>
        <v>410279.9298108847</v>
      </c>
      <c r="AN54" s="57">
        <f>AM54*(1+E6)</f>
        <v>422588.32770521124</v>
      </c>
      <c r="AO54" s="57">
        <f>AN54*(1+E6)</f>
        <v>435265.9775363676</v>
      </c>
      <c r="AP54" s="57">
        <f>AO54*(1+E6)</f>
        <v>448323.95686245867</v>
      </c>
      <c r="AQ54" s="57">
        <f>AP54*(1+E6)</f>
        <v>461773.67556833243</v>
      </c>
      <c r="AR54" s="57">
        <f>AQ54*(1+E6)</f>
        <v>475626.88583538239</v>
      </c>
      <c r="AS54" s="57">
        <f>AR54*(1+E6)</f>
        <v>489895.69241044385</v>
      </c>
      <c r="AT54" s="57">
        <f>AS54*(1+E6)</f>
        <v>504592.56318275718</v>
      </c>
      <c r="AU54" s="57">
        <f>AT54*(1+E6)</f>
        <v>519730.34007823991</v>
      </c>
      <c r="AV54" s="57">
        <f>AU54*(1+E6)</f>
        <v>535322.25028058712</v>
      </c>
      <c r="AW54" s="57">
        <f>AV54*(1+E6)</f>
        <v>551381.91778900474</v>
      </c>
      <c r="AX54" s="57">
        <f>AW54*(1+E6)</f>
        <v>567923.37532267487</v>
      </c>
      <c r="AY54" s="57">
        <f>AX54*(1+E6)</f>
        <v>584961.07658235508</v>
      </c>
      <c r="AZ54" s="57">
        <f>AY54*(1+E6)</f>
        <v>602509.90887982573</v>
      </c>
      <c r="BA54" s="57">
        <f>AZ54*(1+E6)</f>
        <v>620585.20614622056</v>
      </c>
      <c r="BB54" s="57">
        <f>BA54*(1+E6)</f>
        <v>639202.76233060716</v>
      </c>
      <c r="BC54" s="57">
        <f>BB54*(1+E6)</f>
        <v>658378.84520052536</v>
      </c>
      <c r="BD54" s="57">
        <f>BC54*(1+E6)</f>
        <v>678130.2105565411</v>
      </c>
      <c r="BE54" s="57">
        <f>BD54*(1+E6)</f>
        <v>698474.1168732373</v>
      </c>
      <c r="BF54" s="57">
        <f>BE54*(1+E6)</f>
        <v>719428.3403794344</v>
      </c>
      <c r="BG54" s="57">
        <f>BF54*(1+E6)</f>
        <v>741011.19059081748</v>
      </c>
      <c r="BH54" s="57">
        <f>BG54*(1+E6)</f>
        <v>763241.526308542</v>
      </c>
      <c r="BI54" s="57">
        <f>BH54*(1+E6)</f>
        <v>786138.7720977983</v>
      </c>
      <c r="BJ54" s="57">
        <f>BI54*(1+E6)</f>
        <v>809722.93526073231</v>
      </c>
      <c r="BK54" s="57">
        <f>BJ54*(1+E6)</f>
        <v>834014.62331855425</v>
      </c>
      <c r="BL54" s="57">
        <f>BK54*(1+E6)</f>
        <v>859035.06201811088</v>
      </c>
      <c r="BM54" s="57">
        <f>BL54*(1+E6)</f>
        <v>884806.1138786542</v>
      </c>
      <c r="BN54" s="57">
        <f>BM54*(1+E6)</f>
        <v>911350.29729501379</v>
      </c>
      <c r="BO54" s="57">
        <f>BN54*(1+E6)</f>
        <v>938690.80621386424</v>
      </c>
      <c r="BP54" s="57">
        <f>BO54*(1+E6)</f>
        <v>966851.53040028014</v>
      </c>
      <c r="BQ54" s="57">
        <f>BP54*(1+E6)</f>
        <v>995857.07631228853</v>
      </c>
      <c r="BR54" s="57">
        <f>BQ54*(1+E6)</f>
        <v>1025732.7886016573</v>
      </c>
      <c r="BS54" s="57">
        <f>BR54*(1+E6)</f>
        <v>1056504.7722597071</v>
      </c>
      <c r="BT54" s="57">
        <f>BS54*(1+E6)</f>
        <v>1088199.9154274983</v>
      </c>
      <c r="BU54" s="57">
        <f>BT54*(1+E6)</f>
        <v>1120845.9128903232</v>
      </c>
      <c r="BV54" s="57">
        <f>BU54*(1+E6)</f>
        <v>1154471.2902770329</v>
      </c>
      <c r="BW54" s="57">
        <f>BV54*(1+E6)</f>
        <v>1189105.428985344</v>
      </c>
      <c r="BX54" s="57">
        <f>BW54*(1+E6)</f>
        <v>1224778.5918549043</v>
      </c>
      <c r="BY54" s="57">
        <f>BX54*(1+E6)</f>
        <v>1261521.9496105516</v>
      </c>
      <c r="BZ54" s="57">
        <f>BY54*(1+E6)</f>
        <v>1299367.6080988683</v>
      </c>
      <c r="CA54" s="57">
        <f>BZ54*(1+E6)</f>
        <v>1338348.6363418344</v>
      </c>
      <c r="CB54" s="57">
        <f>CA54*(1+E6)</f>
        <v>1378499.0954320894</v>
      </c>
      <c r="CC54" s="57">
        <f>CB54*(1+E6)</f>
        <v>1419854.068295052</v>
      </c>
      <c r="CD54" s="57">
        <f>CC54*(1+E6)</f>
        <v>1462449.6903439036</v>
      </c>
      <c r="CE54" s="57">
        <f>CD54*(1+E6)</f>
        <v>1506323.1810542208</v>
      </c>
      <c r="CF54" s="57">
        <f>CE54*(1+E6)</f>
        <v>1551512.8764858474</v>
      </c>
      <c r="CG54" s="57">
        <f>CF54*(1+E6)</f>
        <v>1598058.2627804228</v>
      </c>
      <c r="CH54" s="57">
        <f>CG54*(1+E6)</f>
        <v>1646000.0106638356</v>
      </c>
    </row>
    <row r="55" spans="1:86" s="49" customFormat="1" x14ac:dyDescent="0.25">
      <c r="A55" s="1"/>
      <c r="B55" s="6"/>
      <c r="C55" s="10"/>
      <c r="D55" s="10"/>
      <c r="E55" s="10"/>
      <c r="F55" s="10"/>
      <c r="G55" s="10"/>
      <c r="H55" s="10"/>
      <c r="I55" s="77"/>
      <c r="J55" s="93"/>
      <c r="K55" s="93"/>
      <c r="L55" s="93"/>
      <c r="M55" s="93"/>
      <c r="N55" s="93"/>
      <c r="O55" s="93"/>
      <c r="P55" s="93"/>
      <c r="Q55" s="93"/>
      <c r="R55" s="93"/>
    </row>
    <row r="56" spans="1:86" s="49" customFormat="1" x14ac:dyDescent="0.25">
      <c r="A56" s="1"/>
      <c r="B56" s="9" t="s">
        <v>28</v>
      </c>
      <c r="C56" s="10">
        <f>C53+C44+C47-C50</f>
        <v>67991</v>
      </c>
      <c r="D56" s="10">
        <f t="shared" ref="C56:I56" si="50">D53+D44+D47-D50</f>
        <v>30148</v>
      </c>
      <c r="E56" s="10">
        <f t="shared" si="50"/>
        <v>33129</v>
      </c>
      <c r="F56" s="10">
        <f t="shared" si="50"/>
        <v>-49747</v>
      </c>
      <c r="G56" s="10">
        <f t="shared" si="50"/>
        <v>136239</v>
      </c>
      <c r="H56" s="10">
        <f t="shared" si="50"/>
        <v>84535</v>
      </c>
      <c r="I56" s="81">
        <f t="shared" si="50"/>
        <v>-15903.599999999999</v>
      </c>
      <c r="J56" s="95">
        <f t="shared" ref="J56:R56" si="51">J53+J44+J47-J50</f>
        <v>18248</v>
      </c>
      <c r="K56" s="95">
        <f t="shared" si="51"/>
        <v>73679</v>
      </c>
      <c r="L56" s="95">
        <f t="shared" si="51"/>
        <v>90352.303210616345</v>
      </c>
      <c r="M56" s="95">
        <f t="shared" si="51"/>
        <v>109963.57208700442</v>
      </c>
      <c r="N56" s="95">
        <f t="shared" si="51"/>
        <v>133146.81694699402</v>
      </c>
      <c r="O56" s="95">
        <f t="shared" si="51"/>
        <v>160499.32110231058</v>
      </c>
      <c r="P56" s="95">
        <f t="shared" si="51"/>
        <v>192713.29513160518</v>
      </c>
      <c r="Q56" s="95">
        <f t="shared" si="51"/>
        <v>230590.46388188741</v>
      </c>
      <c r="R56" s="95">
        <f t="shared" si="51"/>
        <v>275058.84181951883</v>
      </c>
    </row>
    <row r="57" spans="1:86" s="49" customFormat="1" x14ac:dyDescent="0.25">
      <c r="A57" s="1"/>
      <c r="B57" s="21" t="s">
        <v>29</v>
      </c>
      <c r="C57" s="1"/>
      <c r="D57" s="1"/>
      <c r="E57" s="1"/>
      <c r="F57" s="1"/>
      <c r="G57" s="1"/>
      <c r="H57" s="1"/>
      <c r="I57" s="58">
        <f>I56/((1+E5)^I9)</f>
        <v>-14203.667752750081</v>
      </c>
      <c r="J57" s="17">
        <f>J56/((1+E5)^J9)</f>
        <v>14555.44186455604</v>
      </c>
      <c r="K57" s="17">
        <f>K56/((1+E5)^K9)</f>
        <v>52487.864719635203</v>
      </c>
      <c r="L57" s="17">
        <f>L56/((1+E5)^L9)</f>
        <v>57485.653300122802</v>
      </c>
      <c r="M57" s="17">
        <f>M56/((1+E5)^M9)</f>
        <v>62484.765382606798</v>
      </c>
      <c r="N57" s="17">
        <f>N56/((1+E5)^N9)</f>
        <v>67571.125637942445</v>
      </c>
      <c r="O57" s="17">
        <f>O56/((1+E5)^O9)</f>
        <v>72745.917507388658</v>
      </c>
      <c r="P57" s="17">
        <f>P56/((1+E5)^P9)</f>
        <v>78010.338833901755</v>
      </c>
      <c r="Q57" s="17">
        <f>Q56/((1+E5)^Q9)</f>
        <v>83365.602027062414</v>
      </c>
      <c r="R57" s="17">
        <f>R56/((1+E5)^R9)</f>
        <v>88812.934229818944</v>
      </c>
    </row>
    <row r="58" spans="1:86" s="49" customFormat="1" x14ac:dyDescent="0.25">
      <c r="A58" s="1"/>
      <c r="B58" s="22"/>
      <c r="C58" s="22"/>
      <c r="D58" s="22"/>
      <c r="E58" s="22"/>
      <c r="F58" s="22"/>
      <c r="G58" s="22"/>
      <c r="H58" s="22"/>
      <c r="I58" s="23"/>
      <c r="J58" s="22"/>
      <c r="K58" s="22"/>
      <c r="L58" s="22"/>
      <c r="M58" s="22"/>
      <c r="N58" s="22"/>
      <c r="O58" s="22"/>
      <c r="P58" s="22"/>
      <c r="Q58" s="22"/>
      <c r="R58" s="22"/>
    </row>
    <row r="59" spans="1:86" s="49" customFormat="1" x14ac:dyDescent="0.25">
      <c r="A59" s="1"/>
      <c r="B59" s="1" t="s">
        <v>30</v>
      </c>
      <c r="C59" s="24">
        <f>(R56*(1+E6))/(E5-E6)</f>
        <v>3159035.6074620276</v>
      </c>
      <c r="D59" s="1"/>
      <c r="E59" s="1" t="s">
        <v>31</v>
      </c>
      <c r="F59" s="17">
        <f>NPV(E5,I54:CH54)</f>
        <v>1187906.9572283446</v>
      </c>
      <c r="G59" s="1"/>
      <c r="H59" s="1"/>
      <c r="I59" s="14"/>
      <c r="J59" s="1"/>
      <c r="K59" s="1"/>
      <c r="L59" s="1"/>
      <c r="M59" s="1"/>
      <c r="N59" s="1"/>
      <c r="O59" s="1"/>
      <c r="P59" s="1"/>
      <c r="Q59" s="1"/>
      <c r="R59" s="2"/>
    </row>
    <row r="60" spans="1:86" s="49" customFormat="1" x14ac:dyDescent="0.25">
      <c r="A60" s="1"/>
      <c r="B60" s="3" t="s">
        <v>32</v>
      </c>
      <c r="C60" s="25">
        <f>C59/((1+E5)^R9)</f>
        <v>1020011.644705732</v>
      </c>
      <c r="D60" s="15"/>
      <c r="E60" s="3"/>
      <c r="F60" s="3"/>
      <c r="G60" s="3"/>
      <c r="H60" s="15"/>
      <c r="I60" s="11"/>
      <c r="J60" s="1"/>
      <c r="K60" s="2"/>
      <c r="L60" s="51" t="s">
        <v>54</v>
      </c>
      <c r="M60" s="52"/>
      <c r="N60" s="52"/>
      <c r="O60" s="52"/>
      <c r="P60" s="52"/>
      <c r="Q60" s="51"/>
      <c r="R60" s="2"/>
    </row>
    <row r="61" spans="1:86" s="49" customFormat="1" x14ac:dyDescent="0.25">
      <c r="A61" s="1"/>
      <c r="B61" s="6" t="s">
        <v>33</v>
      </c>
      <c r="C61" s="6"/>
      <c r="D61" s="1"/>
      <c r="E61" s="6"/>
      <c r="F61" s="6"/>
      <c r="G61" s="26" t="s">
        <v>34</v>
      </c>
      <c r="H61" s="26" t="s">
        <v>31</v>
      </c>
      <c r="I61" s="14"/>
      <c r="J61" s="2"/>
      <c r="K61" s="51"/>
      <c r="L61" s="62">
        <f>D67</f>
        <v>17.457923336449113</v>
      </c>
      <c r="M61" s="53">
        <v>-0.01</v>
      </c>
      <c r="N61" s="53">
        <v>0.01</v>
      </c>
      <c r="O61" s="53">
        <v>0.03</v>
      </c>
      <c r="P61" s="53">
        <v>0.04</v>
      </c>
      <c r="Q61" s="53">
        <v>0.05</v>
      </c>
      <c r="R61" s="2"/>
    </row>
    <row r="62" spans="1:86" s="49" customFormat="1" x14ac:dyDescent="0.25">
      <c r="A62" s="1"/>
      <c r="B62" s="27" t="s">
        <v>35</v>
      </c>
      <c r="C62" s="1"/>
      <c r="D62" s="20">
        <v>224579</v>
      </c>
      <c r="E62" s="1"/>
      <c r="F62" s="1"/>
      <c r="G62" s="24">
        <f>C60+SUM(I57:R57)</f>
        <v>1583327.6204560171</v>
      </c>
      <c r="H62" s="17">
        <f>F59</f>
        <v>1187906.9572283446</v>
      </c>
      <c r="I62" s="14"/>
      <c r="J62" s="2"/>
      <c r="K62" s="51"/>
      <c r="L62" s="54">
        <f>L63-1%</f>
        <v>9.968262542052081E-2</v>
      </c>
      <c r="M62" s="59">
        <f t="dataTable" ref="M62:Q66" dt2D="1" dtr="1" r1="E6" r2="E5"/>
        <v>17.620320562206786</v>
      </c>
      <c r="N62" s="59">
        <v>20.250162880623357</v>
      </c>
      <c r="O62" s="59">
        <v>24.339895979480744</v>
      </c>
      <c r="P62" s="59">
        <v>27.351521136579414</v>
      </c>
      <c r="Q62" s="59">
        <v>31.464276041419787</v>
      </c>
      <c r="R62" s="2"/>
    </row>
    <row r="63" spans="1:86" s="49" customFormat="1" x14ac:dyDescent="0.25">
      <c r="A63" s="1"/>
      <c r="B63" s="28" t="s">
        <v>36</v>
      </c>
      <c r="C63" s="3"/>
      <c r="D63" s="29">
        <f>241729-45901</f>
        <v>195828</v>
      </c>
      <c r="E63" s="3"/>
      <c r="F63" s="3"/>
      <c r="G63" s="3"/>
      <c r="H63" s="3"/>
      <c r="I63" s="14"/>
      <c r="J63" s="2"/>
      <c r="K63" s="52"/>
      <c r="L63" s="54">
        <f>L64-1%</f>
        <v>0.1096826254205208</v>
      </c>
      <c r="M63" s="59">
        <v>15.459320225523689</v>
      </c>
      <c r="N63" s="60">
        <v>17.462599608613687</v>
      </c>
      <c r="O63" s="60">
        <v>20.450047328644047</v>
      </c>
      <c r="P63" s="60">
        <v>22.56101995466636</v>
      </c>
      <c r="Q63" s="59">
        <v>25.333696657506252</v>
      </c>
      <c r="R63" s="2"/>
    </row>
    <row r="64" spans="1:86" s="49" customFormat="1" x14ac:dyDescent="0.25">
      <c r="A64" s="1"/>
      <c r="B64" s="6" t="s">
        <v>37</v>
      </c>
      <c r="C64" s="6"/>
      <c r="D64" s="6"/>
      <c r="E64" s="6"/>
      <c r="F64" s="6"/>
      <c r="G64" s="30">
        <f>(G62+D62-D63)</f>
        <v>1612078.6204560171</v>
      </c>
      <c r="H64" s="31">
        <f>(H62+D62-D63)</f>
        <v>1216657.9572283446</v>
      </c>
      <c r="I64" s="14"/>
      <c r="J64" s="2"/>
      <c r="K64" s="51" t="s">
        <v>1</v>
      </c>
      <c r="L64" s="56">
        <v>0.1196826254205208</v>
      </c>
      <c r="M64" s="59">
        <v>13.671212662716584</v>
      </c>
      <c r="N64" s="60">
        <v>15.223197542665897</v>
      </c>
      <c r="O64" s="61">
        <v>17.457923336449113</v>
      </c>
      <c r="P64" s="60">
        <v>18.984744563804625</v>
      </c>
      <c r="Q64" s="59">
        <v>20.930347341887149</v>
      </c>
      <c r="R64" s="2"/>
    </row>
    <row r="65" spans="1:18" s="49" customFormat="1" x14ac:dyDescent="0.25">
      <c r="A65" s="1"/>
      <c r="B65" s="3" t="s">
        <v>38</v>
      </c>
      <c r="C65" s="3"/>
      <c r="D65" s="36">
        <f>81015838/1000</f>
        <v>81015.838000000003</v>
      </c>
      <c r="E65" s="3"/>
      <c r="F65" s="3"/>
      <c r="G65" s="3"/>
      <c r="H65" s="3"/>
      <c r="I65" s="14"/>
      <c r="J65" s="2"/>
      <c r="K65" s="51"/>
      <c r="L65" s="55">
        <f>L64+0.5%</f>
        <v>0.1246826254205208</v>
      </c>
      <c r="M65" s="59">
        <v>12.890227118066548</v>
      </c>
      <c r="N65" s="60">
        <v>14.263869549711956</v>
      </c>
      <c r="O65" s="60">
        <v>16.211489107160439</v>
      </c>
      <c r="P65" s="60">
        <v>17.52282535319657</v>
      </c>
      <c r="Q65" s="59">
        <v>19.172523862884773</v>
      </c>
      <c r="R65" s="2"/>
    </row>
    <row r="66" spans="1:18" s="49" customFormat="1" x14ac:dyDescent="0.25">
      <c r="A66" s="1"/>
      <c r="B66" s="16" t="s">
        <v>39</v>
      </c>
      <c r="C66" s="16"/>
      <c r="D66" s="63">
        <f>D65*J5</f>
        <v>1998660.7234600002</v>
      </c>
      <c r="E66" s="16"/>
      <c r="F66" s="16"/>
      <c r="G66" s="16"/>
      <c r="H66" s="32"/>
      <c r="I66" s="1"/>
      <c r="J66" s="2"/>
      <c r="K66" s="51"/>
      <c r="L66" s="55">
        <f>L65+0.5%</f>
        <v>0.12968262542052081</v>
      </c>
      <c r="M66" s="59">
        <v>12.173413813195022</v>
      </c>
      <c r="N66" s="59">
        <v>13.393293143577944</v>
      </c>
      <c r="O66" s="59">
        <v>15.098418907733901</v>
      </c>
      <c r="P66" s="59">
        <v>16.231191841490794</v>
      </c>
      <c r="Q66" s="59">
        <v>17.639789108310826</v>
      </c>
      <c r="R66" s="2"/>
    </row>
    <row r="67" spans="1:18" s="49" customFormat="1" x14ac:dyDescent="0.25">
      <c r="A67" s="1"/>
      <c r="B67" s="6" t="s">
        <v>40</v>
      </c>
      <c r="C67" s="6" t="s">
        <v>41</v>
      </c>
      <c r="D67" s="33">
        <f>(G67+H67)/2</f>
        <v>17.457923336449113</v>
      </c>
      <c r="E67" s="2"/>
      <c r="F67" s="6"/>
      <c r="G67" s="33">
        <f>G64/D65</f>
        <v>19.898314456193333</v>
      </c>
      <c r="H67" s="33">
        <f>H64/D65</f>
        <v>15.017532216704893</v>
      </c>
      <c r="I67" s="14"/>
      <c r="J67" s="2"/>
      <c r="K67" s="2"/>
      <c r="L67" s="2"/>
      <c r="M67" s="2"/>
      <c r="N67" s="2"/>
      <c r="O67" s="2"/>
      <c r="P67" s="2"/>
      <c r="Q67" s="2"/>
      <c r="R67" s="2"/>
    </row>
  </sheetData>
  <sortState xmlns:xlrd2="http://schemas.microsoft.com/office/spreadsheetml/2017/richdata2" columnSort="1" ref="C10:H57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E8" sqref="E8"/>
    </sheetView>
  </sheetViews>
  <sheetFormatPr defaultRowHeight="15" x14ac:dyDescent="0.25"/>
  <cols>
    <col min="3" max="3" width="11.7109375" customWidth="1"/>
    <col min="11" max="11" width="10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7" t="s">
        <v>1</v>
      </c>
      <c r="C2" s="2"/>
      <c r="D2" s="2"/>
      <c r="E2" s="2"/>
      <c r="F2" s="2"/>
      <c r="G2" s="2"/>
      <c r="H2" s="2"/>
      <c r="I2" s="2"/>
      <c r="J2" s="2"/>
      <c r="K2" s="2"/>
      <c r="L2" s="38"/>
    </row>
    <row r="3" spans="1:14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2"/>
    </row>
    <row r="4" spans="1:14" x14ac:dyDescent="0.25">
      <c r="A4" s="40" t="s">
        <v>43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44</v>
      </c>
      <c r="C6" s="2"/>
      <c r="D6" s="41">
        <v>0.1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45</v>
      </c>
      <c r="C7" s="2"/>
      <c r="D7" s="41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46</v>
      </c>
      <c r="C8" s="2"/>
      <c r="D8" s="90">
        <v>1.5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47</v>
      </c>
      <c r="C9" s="2"/>
      <c r="D9" s="41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37</v>
      </c>
      <c r="B12" s="2"/>
      <c r="C12" s="20">
        <f>'MXL DCF'!D66</f>
        <v>1998660.7234600002</v>
      </c>
      <c r="D12" s="2"/>
      <c r="E12" s="2" t="s">
        <v>36</v>
      </c>
      <c r="F12" s="2"/>
      <c r="G12" s="20">
        <f>'MXL DCF'!D63</f>
        <v>195828</v>
      </c>
      <c r="H12" s="2"/>
      <c r="I12" s="2" t="s">
        <v>48</v>
      </c>
      <c r="J12" s="2"/>
      <c r="K12" s="20">
        <f>G12+C12</f>
        <v>2194488.72346</v>
      </c>
      <c r="L12" s="2"/>
    </row>
    <row r="13" spans="1:14" x14ac:dyDescent="0.25">
      <c r="A13" s="2" t="s">
        <v>49</v>
      </c>
      <c r="B13" s="2"/>
      <c r="C13" s="42">
        <f>C12/K12</f>
        <v>0.91076372464049749</v>
      </c>
      <c r="D13" s="2"/>
      <c r="E13" s="2" t="s">
        <v>50</v>
      </c>
      <c r="F13" s="2"/>
      <c r="G13" s="43">
        <f>G12/K12</f>
        <v>8.923627535950264E-2</v>
      </c>
      <c r="H13" s="2"/>
      <c r="I13" s="2"/>
      <c r="J13" s="2"/>
      <c r="K13" s="2"/>
      <c r="L13" s="2"/>
      <c r="M13" s="34"/>
    </row>
    <row r="14" spans="1:14" x14ac:dyDescent="0.25">
      <c r="A14" s="2" t="s">
        <v>51</v>
      </c>
      <c r="B14" s="2"/>
      <c r="C14" s="44">
        <f>D7+D8*(D9)</f>
        <v>0.127</v>
      </c>
      <c r="D14" s="2"/>
      <c r="E14" s="2" t="s">
        <v>52</v>
      </c>
      <c r="F14" s="2"/>
      <c r="G14" s="45">
        <v>0.05</v>
      </c>
      <c r="H14" s="2"/>
      <c r="I14" s="46" t="s">
        <v>1</v>
      </c>
      <c r="J14" s="47"/>
      <c r="K14" s="48">
        <f>C13*C14+G14*G13*(1-D6)</f>
        <v>0.1196826254205208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AD78-4B92-47AA-9CDB-7744175AC6C6}">
  <dimension ref="A1:I33"/>
  <sheetViews>
    <sheetView topLeftCell="A7" workbookViewId="0">
      <selection activeCell="A20" sqref="A20"/>
    </sheetView>
  </sheetViews>
  <sheetFormatPr defaultRowHeight="15" x14ac:dyDescent="0.25"/>
  <cols>
    <col min="1" max="1" width="39.42578125" customWidth="1"/>
    <col min="2" max="4" width="14.28515625" customWidth="1"/>
    <col min="6" max="6" width="27.5703125" customWidth="1"/>
    <col min="7" max="9" width="14.42578125" customWidth="1"/>
  </cols>
  <sheetData>
    <row r="1" spans="1:9" ht="15" customHeight="1" x14ac:dyDescent="0.25">
      <c r="A1" t="s">
        <v>70</v>
      </c>
      <c r="B1" t="s">
        <v>71</v>
      </c>
      <c r="F1" t="s">
        <v>135</v>
      </c>
      <c r="G1" t="s">
        <v>71</v>
      </c>
    </row>
    <row r="2" spans="1:9" x14ac:dyDescent="0.25">
      <c r="B2">
        <v>2020</v>
      </c>
      <c r="C2">
        <v>2021</v>
      </c>
      <c r="D2">
        <v>2022</v>
      </c>
      <c r="G2">
        <v>2017</v>
      </c>
      <c r="H2">
        <v>2018</v>
      </c>
      <c r="I2">
        <v>2019</v>
      </c>
    </row>
    <row r="3" spans="1:9" x14ac:dyDescent="0.25">
      <c r="A3" t="s">
        <v>72</v>
      </c>
      <c r="B3" t="s">
        <v>73</v>
      </c>
      <c r="C3" t="s">
        <v>73</v>
      </c>
      <c r="D3" t="s">
        <v>73</v>
      </c>
      <c r="F3" t="s">
        <v>74</v>
      </c>
      <c r="G3">
        <v>420318</v>
      </c>
      <c r="H3">
        <v>384997</v>
      </c>
      <c r="I3">
        <v>317180</v>
      </c>
    </row>
    <row r="4" spans="1:9" x14ac:dyDescent="0.25">
      <c r="A4" t="s">
        <v>74</v>
      </c>
      <c r="B4">
        <v>478596</v>
      </c>
      <c r="C4">
        <v>892398</v>
      </c>
      <c r="D4">
        <v>1120252</v>
      </c>
      <c r="F4" t="s">
        <v>75</v>
      </c>
      <c r="G4">
        <v>212355</v>
      </c>
      <c r="H4">
        <v>176223</v>
      </c>
      <c r="I4">
        <v>149495</v>
      </c>
    </row>
    <row r="5" spans="1:9" x14ac:dyDescent="0.25">
      <c r="A5" s="64" t="s">
        <v>75</v>
      </c>
      <c r="B5" s="64">
        <v>265798</v>
      </c>
      <c r="C5" s="64">
        <v>396566</v>
      </c>
      <c r="D5" s="64">
        <v>470483</v>
      </c>
      <c r="E5" s="64"/>
      <c r="F5" s="64" t="s">
        <v>55</v>
      </c>
      <c r="G5">
        <v>207963</v>
      </c>
      <c r="H5">
        <v>208774</v>
      </c>
      <c r="I5">
        <v>167685</v>
      </c>
    </row>
    <row r="6" spans="1:9" x14ac:dyDescent="0.25">
      <c r="A6" t="s">
        <v>55</v>
      </c>
      <c r="B6">
        <v>212798</v>
      </c>
      <c r="C6" s="64">
        <v>495832</v>
      </c>
      <c r="D6" s="64">
        <v>649769</v>
      </c>
      <c r="E6" s="64"/>
      <c r="F6" s="64" t="s">
        <v>56</v>
      </c>
    </row>
    <row r="7" spans="1:9" x14ac:dyDescent="0.25">
      <c r="A7" t="s">
        <v>56</v>
      </c>
      <c r="B7" t="s">
        <v>73</v>
      </c>
      <c r="C7" t="s">
        <v>73</v>
      </c>
      <c r="D7" t="s">
        <v>73</v>
      </c>
      <c r="F7" t="s">
        <v>57</v>
      </c>
      <c r="G7">
        <v>112279</v>
      </c>
      <c r="H7">
        <v>120046</v>
      </c>
      <c r="I7">
        <v>98344</v>
      </c>
    </row>
    <row r="8" spans="1:9" x14ac:dyDescent="0.25">
      <c r="A8" t="s">
        <v>57</v>
      </c>
      <c r="B8">
        <v>179993</v>
      </c>
      <c r="C8">
        <v>278440</v>
      </c>
      <c r="D8" s="65">
        <v>296442</v>
      </c>
      <c r="E8" s="65"/>
      <c r="F8" t="s">
        <v>58</v>
      </c>
      <c r="G8">
        <v>105831</v>
      </c>
      <c r="H8">
        <v>101789</v>
      </c>
      <c r="I8">
        <v>88762</v>
      </c>
    </row>
    <row r="9" spans="1:9" x14ac:dyDescent="0.25">
      <c r="A9" t="s">
        <v>58</v>
      </c>
      <c r="B9">
        <v>130025</v>
      </c>
      <c r="C9">
        <v>149943</v>
      </c>
      <c r="D9" s="34">
        <v>168008</v>
      </c>
      <c r="E9" s="34"/>
      <c r="F9" t="s">
        <v>76</v>
      </c>
      <c r="G9">
        <v>2000</v>
      </c>
      <c r="H9">
        <v>2198</v>
      </c>
      <c r="I9">
        <v>0</v>
      </c>
    </row>
    <row r="10" spans="1:9" x14ac:dyDescent="0.25">
      <c r="A10" t="s">
        <v>76</v>
      </c>
      <c r="B10">
        <v>86</v>
      </c>
      <c r="C10">
        <v>0</v>
      </c>
      <c r="D10" s="34">
        <v>2811</v>
      </c>
      <c r="E10" s="34"/>
      <c r="F10" t="s">
        <v>77</v>
      </c>
      <c r="G10">
        <v>9524</v>
      </c>
      <c r="H10">
        <v>3838</v>
      </c>
      <c r="I10">
        <v>2636</v>
      </c>
    </row>
    <row r="11" spans="1:9" x14ac:dyDescent="0.25">
      <c r="A11" t="s">
        <v>77</v>
      </c>
      <c r="B11">
        <v>3833</v>
      </c>
      <c r="C11">
        <v>2204</v>
      </c>
      <c r="D11">
        <v>2265</v>
      </c>
      <c r="F11" t="s">
        <v>59</v>
      </c>
      <c r="G11">
        <v>229634</v>
      </c>
      <c r="H11">
        <v>227871</v>
      </c>
      <c r="I11">
        <v>189742</v>
      </c>
    </row>
    <row r="12" spans="1:9" x14ac:dyDescent="0.25">
      <c r="A12" t="s">
        <v>59</v>
      </c>
      <c r="B12">
        <v>313937</v>
      </c>
      <c r="C12">
        <v>430587</v>
      </c>
      <c r="D12">
        <v>469526</v>
      </c>
      <c r="F12" t="s">
        <v>136</v>
      </c>
      <c r="G12">
        <v>-21671</v>
      </c>
      <c r="H12">
        <v>-19097</v>
      </c>
      <c r="I12">
        <v>-22057</v>
      </c>
    </row>
    <row r="13" spans="1:9" x14ac:dyDescent="0.25">
      <c r="A13" t="s">
        <v>78</v>
      </c>
      <c r="B13">
        <v>-101139</v>
      </c>
      <c r="C13">
        <v>65245</v>
      </c>
      <c r="D13" s="34">
        <v>180243</v>
      </c>
      <c r="E13" s="34"/>
      <c r="F13" t="s">
        <v>67</v>
      </c>
      <c r="G13">
        <v>274</v>
      </c>
      <c r="H13">
        <v>78</v>
      </c>
      <c r="I13">
        <v>775</v>
      </c>
    </row>
    <row r="14" spans="1:9" x14ac:dyDescent="0.25">
      <c r="A14" t="s">
        <v>67</v>
      </c>
      <c r="B14">
        <v>409</v>
      </c>
      <c r="C14">
        <v>78</v>
      </c>
      <c r="D14" s="34">
        <v>245</v>
      </c>
      <c r="E14" s="34"/>
      <c r="F14" t="s">
        <v>137</v>
      </c>
      <c r="G14">
        <v>-10378</v>
      </c>
      <c r="H14">
        <v>-14255</v>
      </c>
      <c r="I14">
        <v>-11133</v>
      </c>
    </row>
    <row r="15" spans="1:9" x14ac:dyDescent="0.25">
      <c r="A15" t="s">
        <v>60</v>
      </c>
      <c r="B15">
        <v>-12952</v>
      </c>
      <c r="C15">
        <v>-12996</v>
      </c>
      <c r="D15" s="34">
        <v>-9768</v>
      </c>
      <c r="E15" s="34"/>
      <c r="F15" t="s">
        <v>61</v>
      </c>
      <c r="G15">
        <v>-2223</v>
      </c>
      <c r="H15">
        <v>422</v>
      </c>
      <c r="I15">
        <v>-69</v>
      </c>
    </row>
    <row r="16" spans="1:9" x14ac:dyDescent="0.25">
      <c r="A16" t="s">
        <v>79</v>
      </c>
      <c r="B16">
        <v>0</v>
      </c>
      <c r="C16">
        <v>-5221</v>
      </c>
      <c r="D16" s="34">
        <v>0</v>
      </c>
      <c r="E16" s="34"/>
      <c r="F16" t="s">
        <v>138</v>
      </c>
      <c r="G16">
        <v>-12327</v>
      </c>
      <c r="H16">
        <v>-13755</v>
      </c>
      <c r="I16">
        <v>-10427</v>
      </c>
    </row>
    <row r="17" spans="1:9" x14ac:dyDescent="0.25">
      <c r="A17" t="s">
        <v>61</v>
      </c>
      <c r="B17">
        <v>-1170</v>
      </c>
      <c r="C17">
        <v>764</v>
      </c>
      <c r="D17" s="34">
        <v>3478</v>
      </c>
      <c r="E17" s="34"/>
      <c r="F17" t="s">
        <v>139</v>
      </c>
      <c r="G17">
        <v>-33998</v>
      </c>
      <c r="H17">
        <v>-32852</v>
      </c>
      <c r="I17">
        <v>-32484</v>
      </c>
    </row>
    <row r="18" spans="1:9" x14ac:dyDescent="0.25">
      <c r="A18" t="s">
        <v>80</v>
      </c>
      <c r="B18">
        <v>-13713</v>
      </c>
      <c r="C18">
        <v>-17375</v>
      </c>
      <c r="D18">
        <v>-6045</v>
      </c>
      <c r="F18" t="s">
        <v>140</v>
      </c>
      <c r="G18">
        <v>-24811</v>
      </c>
      <c r="H18">
        <v>-6653</v>
      </c>
      <c r="I18">
        <v>-12586</v>
      </c>
    </row>
    <row r="19" spans="1:9" x14ac:dyDescent="0.25">
      <c r="A19" t="s">
        <v>81</v>
      </c>
      <c r="B19">
        <v>-114852</v>
      </c>
      <c r="C19">
        <v>47870</v>
      </c>
      <c r="D19" s="66">
        <v>174198</v>
      </c>
      <c r="E19" s="66"/>
      <c r="F19" t="s">
        <v>141</v>
      </c>
      <c r="G19">
        <v>-9187</v>
      </c>
      <c r="H19">
        <v>-26199</v>
      </c>
      <c r="I19">
        <v>-19898</v>
      </c>
    </row>
    <row r="20" spans="1:9" x14ac:dyDescent="0.25">
      <c r="A20" t="s">
        <v>82</v>
      </c>
      <c r="B20">
        <v>-16259</v>
      </c>
      <c r="C20">
        <v>5901</v>
      </c>
      <c r="D20" s="34">
        <v>49158</v>
      </c>
      <c r="E20" s="34"/>
      <c r="F20" t="s">
        <v>142</v>
      </c>
    </row>
    <row r="21" spans="1:9" x14ac:dyDescent="0.25">
      <c r="A21" t="s">
        <v>68</v>
      </c>
      <c r="B21">
        <v>-98593</v>
      </c>
      <c r="C21">
        <v>41969</v>
      </c>
      <c r="D21" s="66">
        <v>125040</v>
      </c>
      <c r="E21" s="66"/>
      <c r="F21" t="s">
        <v>84</v>
      </c>
      <c r="G21">
        <v>-0.14000000000000001</v>
      </c>
      <c r="H21">
        <v>-0.38</v>
      </c>
      <c r="I21">
        <v>-0.28000000000000003</v>
      </c>
    </row>
    <row r="22" spans="1:9" x14ac:dyDescent="0.25">
      <c r="A22" t="s">
        <v>83</v>
      </c>
      <c r="B22" t="s">
        <v>73</v>
      </c>
      <c r="C22" t="s">
        <v>73</v>
      </c>
      <c r="D22" s="34" t="s">
        <v>73</v>
      </c>
      <c r="E22" s="34"/>
      <c r="F22" t="s">
        <v>85</v>
      </c>
      <c r="G22">
        <v>-0.14000000000000001</v>
      </c>
      <c r="H22">
        <v>-0.38</v>
      </c>
      <c r="I22">
        <v>-0.28000000000000003</v>
      </c>
    </row>
    <row r="23" spans="1:9" x14ac:dyDescent="0.25">
      <c r="A23" t="s">
        <v>84</v>
      </c>
      <c r="B23">
        <v>-1.35</v>
      </c>
      <c r="C23">
        <v>0.55000000000000004</v>
      </c>
      <c r="D23">
        <v>1.6</v>
      </c>
      <c r="F23" t="s">
        <v>143</v>
      </c>
    </row>
    <row r="24" spans="1:9" x14ac:dyDescent="0.25">
      <c r="A24" t="s">
        <v>85</v>
      </c>
      <c r="B24">
        <v>-1.35</v>
      </c>
      <c r="C24">
        <v>0.53</v>
      </c>
      <c r="D24" s="34">
        <v>1.55</v>
      </c>
      <c r="E24" s="66"/>
      <c r="F24" t="s">
        <v>144</v>
      </c>
      <c r="G24">
        <v>66252</v>
      </c>
      <c r="H24">
        <v>68490</v>
      </c>
      <c r="I24">
        <v>71005</v>
      </c>
    </row>
    <row r="25" spans="1:9" x14ac:dyDescent="0.25">
      <c r="A25" t="s">
        <v>86</v>
      </c>
      <c r="B25" t="s">
        <v>73</v>
      </c>
      <c r="C25" t="s">
        <v>73</v>
      </c>
      <c r="D25" s="65" t="s">
        <v>73</v>
      </c>
      <c r="E25" s="67"/>
      <c r="F25" t="s">
        <v>88</v>
      </c>
      <c r="G25">
        <v>66252</v>
      </c>
      <c r="H25">
        <v>68490</v>
      </c>
      <c r="I25">
        <v>71005</v>
      </c>
    </row>
    <row r="26" spans="1:9" x14ac:dyDescent="0.25">
      <c r="A26" t="s">
        <v>87</v>
      </c>
      <c r="B26">
        <v>73133</v>
      </c>
      <c r="C26">
        <v>76037</v>
      </c>
      <c r="D26">
        <v>78039</v>
      </c>
    </row>
    <row r="27" spans="1:9" x14ac:dyDescent="0.25">
      <c r="A27" t="s">
        <v>88</v>
      </c>
      <c r="B27">
        <v>73133</v>
      </c>
      <c r="C27">
        <v>79679</v>
      </c>
      <c r="D27">
        <v>80852</v>
      </c>
    </row>
    <row r="28" spans="1:9" x14ac:dyDescent="0.25">
      <c r="B28" s="69"/>
      <c r="E28" s="68"/>
    </row>
    <row r="29" spans="1:9" x14ac:dyDescent="0.25">
      <c r="B29" s="69"/>
      <c r="E29" s="68"/>
    </row>
    <row r="32" spans="1:9" x14ac:dyDescent="0.25">
      <c r="B32" s="34"/>
      <c r="E32" s="34"/>
    </row>
    <row r="33" spans="2:5" x14ac:dyDescent="0.25">
      <c r="B33" s="34"/>
      <c r="E33" s="34"/>
    </row>
  </sheetData>
  <sortState xmlns:xlrd2="http://schemas.microsoft.com/office/spreadsheetml/2017/richdata2" columnSort="1" ref="G2:I25">
    <sortCondition ref="G2: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33A0-2070-4DAF-891B-B99A1FFB0202}">
  <dimension ref="A1:I57"/>
  <sheetViews>
    <sheetView topLeftCell="A18" workbookViewId="0">
      <selection activeCell="C30" sqref="C30"/>
    </sheetView>
  </sheetViews>
  <sheetFormatPr defaultRowHeight="15" x14ac:dyDescent="0.25"/>
  <cols>
    <col min="1" max="1" width="31.7109375" customWidth="1"/>
    <col min="2" max="4" width="15.7109375" customWidth="1"/>
    <col min="6" max="6" width="30.42578125" customWidth="1"/>
    <col min="7" max="9" width="15.140625" customWidth="1"/>
  </cols>
  <sheetData>
    <row r="1" spans="1:9" x14ac:dyDescent="0.25">
      <c r="A1" t="s">
        <v>89</v>
      </c>
      <c r="B1" t="s">
        <v>71</v>
      </c>
      <c r="F1" t="s">
        <v>145</v>
      </c>
      <c r="G1" t="s">
        <v>71</v>
      </c>
    </row>
    <row r="2" spans="1:9" x14ac:dyDescent="0.25">
      <c r="B2">
        <v>2020</v>
      </c>
      <c r="C2">
        <v>2021</v>
      </c>
      <c r="D2">
        <v>2022</v>
      </c>
      <c r="G2">
        <v>2017</v>
      </c>
      <c r="H2">
        <v>2018</v>
      </c>
      <c r="I2">
        <v>2019</v>
      </c>
    </row>
    <row r="3" spans="1:9" x14ac:dyDescent="0.25">
      <c r="A3" t="s">
        <v>90</v>
      </c>
      <c r="B3" t="s">
        <v>73</v>
      </c>
      <c r="C3" t="s">
        <v>73</v>
      </c>
      <c r="D3" t="s">
        <v>73</v>
      </c>
      <c r="F3" t="s">
        <v>90</v>
      </c>
    </row>
    <row r="4" spans="1:9" x14ac:dyDescent="0.25">
      <c r="A4" t="s">
        <v>68</v>
      </c>
      <c r="B4">
        <v>-98593</v>
      </c>
      <c r="C4">
        <v>41969</v>
      </c>
      <c r="D4">
        <v>125040</v>
      </c>
      <c r="F4" t="s">
        <v>141</v>
      </c>
      <c r="G4">
        <v>-9187</v>
      </c>
      <c r="H4">
        <v>-26199</v>
      </c>
      <c r="I4">
        <v>-19898</v>
      </c>
    </row>
    <row r="5" spans="1:9" x14ac:dyDescent="0.25">
      <c r="A5" t="s">
        <v>91</v>
      </c>
      <c r="B5" t="s">
        <v>73</v>
      </c>
      <c r="C5" t="s">
        <v>73</v>
      </c>
      <c r="D5" t="s">
        <v>73</v>
      </c>
      <c r="F5" t="s">
        <v>146</v>
      </c>
    </row>
    <row r="6" spans="1:9" x14ac:dyDescent="0.25">
      <c r="A6" t="s">
        <v>92</v>
      </c>
      <c r="B6">
        <v>76513</v>
      </c>
      <c r="C6">
        <v>91792</v>
      </c>
      <c r="D6">
        <v>80731</v>
      </c>
      <c r="F6" t="s">
        <v>92</v>
      </c>
      <c r="G6">
        <v>66738</v>
      </c>
      <c r="H6">
        <v>79027</v>
      </c>
      <c r="I6">
        <v>66401</v>
      </c>
    </row>
    <row r="7" spans="1:9" x14ac:dyDescent="0.25">
      <c r="A7" t="s">
        <v>76</v>
      </c>
      <c r="B7">
        <v>86</v>
      </c>
      <c r="C7">
        <v>0</v>
      </c>
      <c r="D7">
        <v>2811</v>
      </c>
      <c r="F7" t="s">
        <v>76</v>
      </c>
      <c r="G7">
        <v>2000</v>
      </c>
      <c r="H7">
        <v>2198</v>
      </c>
      <c r="I7">
        <v>0</v>
      </c>
    </row>
    <row r="8" spans="1:9" x14ac:dyDescent="0.25">
      <c r="A8" t="s">
        <v>93</v>
      </c>
      <c r="B8">
        <v>32945</v>
      </c>
      <c r="C8">
        <v>0</v>
      </c>
      <c r="D8">
        <v>0</v>
      </c>
      <c r="F8" t="s">
        <v>147</v>
      </c>
      <c r="G8">
        <v>133</v>
      </c>
      <c r="H8">
        <v>0</v>
      </c>
      <c r="I8">
        <v>0</v>
      </c>
    </row>
    <row r="9" spans="1:9" x14ac:dyDescent="0.25">
      <c r="A9" t="s">
        <v>94</v>
      </c>
      <c r="B9">
        <v>2201</v>
      </c>
      <c r="C9">
        <v>3000</v>
      </c>
      <c r="D9">
        <v>1975</v>
      </c>
      <c r="F9" t="s">
        <v>148</v>
      </c>
      <c r="G9">
        <v>-60</v>
      </c>
      <c r="H9">
        <v>0</v>
      </c>
      <c r="I9">
        <v>0</v>
      </c>
    </row>
    <row r="10" spans="1:9" x14ac:dyDescent="0.25">
      <c r="A10" t="s">
        <v>95</v>
      </c>
      <c r="B10">
        <v>47597</v>
      </c>
      <c r="C10">
        <v>59358</v>
      </c>
      <c r="D10">
        <v>81704</v>
      </c>
      <c r="F10" t="s">
        <v>149</v>
      </c>
      <c r="G10">
        <v>25557</v>
      </c>
      <c r="H10">
        <v>0</v>
      </c>
      <c r="I10">
        <v>0</v>
      </c>
    </row>
    <row r="11" spans="1:9" x14ac:dyDescent="0.25">
      <c r="A11" t="s">
        <v>62</v>
      </c>
      <c r="B11">
        <v>-18488</v>
      </c>
      <c r="C11">
        <v>-3235</v>
      </c>
      <c r="D11">
        <v>23454</v>
      </c>
      <c r="F11" t="s">
        <v>150</v>
      </c>
      <c r="G11">
        <v>763</v>
      </c>
      <c r="H11">
        <v>1148</v>
      </c>
      <c r="I11">
        <v>1577</v>
      </c>
    </row>
    <row r="12" spans="1:9" x14ac:dyDescent="0.25">
      <c r="A12" t="s">
        <v>96</v>
      </c>
      <c r="B12">
        <v>0</v>
      </c>
      <c r="C12">
        <v>533</v>
      </c>
      <c r="D12">
        <v>170</v>
      </c>
      <c r="F12" t="s">
        <v>95</v>
      </c>
      <c r="G12">
        <v>32668</v>
      </c>
      <c r="H12">
        <v>31721</v>
      </c>
      <c r="I12">
        <v>32060</v>
      </c>
    </row>
    <row r="13" spans="1:9" x14ac:dyDescent="0.25">
      <c r="A13" t="s">
        <v>97</v>
      </c>
      <c r="B13">
        <v>0</v>
      </c>
      <c r="C13">
        <v>0</v>
      </c>
      <c r="D13">
        <v>-3375</v>
      </c>
      <c r="F13" t="s">
        <v>62</v>
      </c>
      <c r="G13">
        <v>-31767</v>
      </c>
      <c r="H13">
        <v>-12144</v>
      </c>
      <c r="I13">
        <v>-15693</v>
      </c>
    </row>
    <row r="14" spans="1:9" x14ac:dyDescent="0.25">
      <c r="A14" t="s">
        <v>98</v>
      </c>
      <c r="B14">
        <v>0</v>
      </c>
      <c r="C14">
        <v>0</v>
      </c>
      <c r="D14">
        <v>1476</v>
      </c>
      <c r="F14" t="s">
        <v>96</v>
      </c>
      <c r="G14">
        <v>168</v>
      </c>
      <c r="H14">
        <v>430</v>
      </c>
      <c r="I14">
        <v>46</v>
      </c>
    </row>
    <row r="15" spans="1:9" x14ac:dyDescent="0.25">
      <c r="A15" t="s">
        <v>99</v>
      </c>
      <c r="B15">
        <v>319</v>
      </c>
      <c r="C15">
        <v>226</v>
      </c>
      <c r="D15">
        <v>0</v>
      </c>
      <c r="F15" t="s">
        <v>151</v>
      </c>
      <c r="G15">
        <v>38</v>
      </c>
      <c r="H15">
        <v>0</v>
      </c>
      <c r="I15">
        <v>0</v>
      </c>
    </row>
    <row r="16" spans="1:9" x14ac:dyDescent="0.25">
      <c r="A16" t="s">
        <v>100</v>
      </c>
      <c r="B16">
        <v>1508</v>
      </c>
      <c r="C16">
        <v>429</v>
      </c>
      <c r="D16">
        <v>462</v>
      </c>
      <c r="F16" t="s">
        <v>99</v>
      </c>
      <c r="G16">
        <v>0</v>
      </c>
      <c r="H16">
        <v>735</v>
      </c>
      <c r="I16">
        <v>1442</v>
      </c>
    </row>
    <row r="17" spans="1:9" x14ac:dyDescent="0.25">
      <c r="A17" t="s">
        <v>79</v>
      </c>
      <c r="B17">
        <v>0</v>
      </c>
      <c r="C17">
        <v>5221</v>
      </c>
      <c r="D17">
        <v>0</v>
      </c>
      <c r="F17" t="s">
        <v>100</v>
      </c>
      <c r="G17">
        <v>0</v>
      </c>
      <c r="H17">
        <v>0</v>
      </c>
      <c r="I17">
        <v>9240</v>
      </c>
    </row>
    <row r="18" spans="1:9" x14ac:dyDescent="0.25">
      <c r="A18" t="s">
        <v>101</v>
      </c>
      <c r="B18">
        <v>1289</v>
      </c>
      <c r="C18">
        <v>634</v>
      </c>
      <c r="D18">
        <v>-1829</v>
      </c>
      <c r="F18" t="s">
        <v>152</v>
      </c>
      <c r="G18">
        <v>0</v>
      </c>
      <c r="H18">
        <v>0</v>
      </c>
      <c r="I18">
        <v>-10437</v>
      </c>
    </row>
    <row r="19" spans="1:9" x14ac:dyDescent="0.25">
      <c r="A19" t="s">
        <v>102</v>
      </c>
      <c r="B19">
        <v>-677</v>
      </c>
      <c r="C19">
        <v>-7415</v>
      </c>
      <c r="D19">
        <v>-9921</v>
      </c>
      <c r="F19" t="s">
        <v>101</v>
      </c>
      <c r="G19">
        <v>2153</v>
      </c>
      <c r="H19">
        <v>-809</v>
      </c>
      <c r="I19">
        <v>760</v>
      </c>
    </row>
    <row r="20" spans="1:9" x14ac:dyDescent="0.25">
      <c r="A20" t="s">
        <v>103</v>
      </c>
      <c r="B20" t="s">
        <v>73</v>
      </c>
      <c r="C20" t="s">
        <v>73</v>
      </c>
      <c r="D20" t="s">
        <v>73</v>
      </c>
      <c r="F20" t="s">
        <v>102</v>
      </c>
      <c r="G20">
        <v>-8559</v>
      </c>
      <c r="H20">
        <v>-2028</v>
      </c>
      <c r="I20">
        <v>-4064</v>
      </c>
    </row>
    <row r="21" spans="1:9" x14ac:dyDescent="0.25">
      <c r="A21" t="s">
        <v>104</v>
      </c>
      <c r="B21">
        <v>-16856</v>
      </c>
      <c r="C21">
        <v>-51690</v>
      </c>
      <c r="D21">
        <v>-50875</v>
      </c>
      <c r="F21" t="s">
        <v>153</v>
      </c>
    </row>
    <row r="22" spans="1:9" x14ac:dyDescent="0.25">
      <c r="A22" t="s">
        <v>105</v>
      </c>
      <c r="B22">
        <v>-31837</v>
      </c>
      <c r="C22">
        <v>-33689</v>
      </c>
      <c r="D22">
        <v>-28841</v>
      </c>
      <c r="F22" t="s">
        <v>104</v>
      </c>
      <c r="G22">
        <v>-4377</v>
      </c>
      <c r="H22">
        <v>6595</v>
      </c>
      <c r="I22">
        <v>9090</v>
      </c>
    </row>
    <row r="23" spans="1:9" x14ac:dyDescent="0.25">
      <c r="A23" t="s">
        <v>63</v>
      </c>
      <c r="B23">
        <v>-38954</v>
      </c>
      <c r="C23">
        <v>24186</v>
      </c>
      <c r="D23">
        <v>1789</v>
      </c>
      <c r="F23" t="s">
        <v>105</v>
      </c>
      <c r="G23">
        <v>-1788</v>
      </c>
      <c r="H23">
        <v>11696</v>
      </c>
      <c r="I23">
        <v>10195</v>
      </c>
    </row>
    <row r="24" spans="1:9" x14ac:dyDescent="0.25">
      <c r="A24" t="s">
        <v>106</v>
      </c>
      <c r="B24">
        <v>441</v>
      </c>
      <c r="C24">
        <v>72</v>
      </c>
      <c r="D24">
        <v>0</v>
      </c>
      <c r="F24" t="s">
        <v>63</v>
      </c>
      <c r="G24">
        <v>1272</v>
      </c>
      <c r="H24">
        <v>1071</v>
      </c>
      <c r="I24">
        <v>3805</v>
      </c>
    </row>
    <row r="25" spans="1:9" x14ac:dyDescent="0.25">
      <c r="A25" t="s">
        <v>107</v>
      </c>
      <c r="B25">
        <v>57094</v>
      </c>
      <c r="C25">
        <v>12771</v>
      </c>
      <c r="D25">
        <v>65815</v>
      </c>
      <c r="F25" t="s">
        <v>106</v>
      </c>
      <c r="G25">
        <v>0</v>
      </c>
      <c r="H25">
        <v>0</v>
      </c>
      <c r="I25">
        <v>3044</v>
      </c>
    </row>
    <row r="26" spans="1:9" x14ac:dyDescent="0.25">
      <c r="A26" t="s">
        <v>108</v>
      </c>
      <c r="B26">
        <v>32606</v>
      </c>
      <c r="C26">
        <v>33595</v>
      </c>
      <c r="D26">
        <v>42003</v>
      </c>
      <c r="F26" t="s">
        <v>107</v>
      </c>
      <c r="G26">
        <v>-1918</v>
      </c>
      <c r="H26">
        <v>5923</v>
      </c>
      <c r="I26">
        <v>1261</v>
      </c>
    </row>
    <row r="27" spans="1:9" x14ac:dyDescent="0.25">
      <c r="A27" t="s">
        <v>109</v>
      </c>
      <c r="B27">
        <v>34719</v>
      </c>
      <c r="C27">
        <v>-7320</v>
      </c>
      <c r="D27">
        <v>73574</v>
      </c>
      <c r="F27" t="s">
        <v>108</v>
      </c>
      <c r="G27">
        <v>1567</v>
      </c>
      <c r="H27">
        <v>8961</v>
      </c>
      <c r="I27">
        <v>2021</v>
      </c>
    </row>
    <row r="28" spans="1:9" x14ac:dyDescent="0.25">
      <c r="A28" t="s">
        <v>110</v>
      </c>
      <c r="B28">
        <v>-6386</v>
      </c>
      <c r="C28">
        <v>-9905</v>
      </c>
      <c r="D28">
        <v>-11440</v>
      </c>
      <c r="F28" t="s">
        <v>154</v>
      </c>
      <c r="G28">
        <v>-1629</v>
      </c>
      <c r="H28">
        <v>-138</v>
      </c>
      <c r="I28">
        <v>0</v>
      </c>
    </row>
    <row r="29" spans="1:9" x14ac:dyDescent="0.25">
      <c r="A29" t="s">
        <v>111</v>
      </c>
      <c r="B29">
        <v>-1934</v>
      </c>
      <c r="C29">
        <v>7701</v>
      </c>
      <c r="D29">
        <v>-5997</v>
      </c>
      <c r="F29" t="s">
        <v>109</v>
      </c>
      <c r="G29">
        <v>6395</v>
      </c>
      <c r="H29">
        <v>-5117</v>
      </c>
      <c r="I29">
        <v>-3966</v>
      </c>
    </row>
    <row r="30" spans="1:9" x14ac:dyDescent="0.25">
      <c r="A30" t="s">
        <v>64</v>
      </c>
      <c r="B30">
        <v>73593</v>
      </c>
      <c r="C30">
        <v>168233</v>
      </c>
      <c r="D30">
        <v>388726</v>
      </c>
      <c r="F30" t="s">
        <v>110</v>
      </c>
      <c r="G30">
        <v>0</v>
      </c>
      <c r="H30">
        <v>0</v>
      </c>
      <c r="I30">
        <v>-8142</v>
      </c>
    </row>
    <row r="31" spans="1:9" x14ac:dyDescent="0.25">
      <c r="A31" t="s">
        <v>112</v>
      </c>
      <c r="B31" t="s">
        <v>73</v>
      </c>
      <c r="C31" t="s">
        <v>73</v>
      </c>
      <c r="D31" t="s">
        <v>73</v>
      </c>
      <c r="F31" t="s">
        <v>111</v>
      </c>
      <c r="G31">
        <v>-5103</v>
      </c>
      <c r="H31">
        <v>-381</v>
      </c>
      <c r="I31">
        <v>-394</v>
      </c>
    </row>
    <row r="32" spans="1:9" x14ac:dyDescent="0.25">
      <c r="A32" t="s">
        <v>65</v>
      </c>
      <c r="B32">
        <v>-12487</v>
      </c>
      <c r="C32">
        <v>-39176</v>
      </c>
      <c r="D32">
        <v>-41253</v>
      </c>
      <c r="F32" t="s">
        <v>64</v>
      </c>
      <c r="G32">
        <v>75064</v>
      </c>
      <c r="H32">
        <v>102689</v>
      </c>
      <c r="I32">
        <v>78348</v>
      </c>
    </row>
    <row r="33" spans="1:9" x14ac:dyDescent="0.25">
      <c r="A33" t="s">
        <v>113</v>
      </c>
      <c r="B33">
        <v>-2799</v>
      </c>
      <c r="C33">
        <v>-7581</v>
      </c>
      <c r="D33">
        <v>-11184</v>
      </c>
      <c r="F33" t="s">
        <v>112</v>
      </c>
    </row>
    <row r="34" spans="1:9" x14ac:dyDescent="0.25">
      <c r="A34" t="s">
        <v>114</v>
      </c>
      <c r="B34">
        <v>-160000</v>
      </c>
      <c r="C34">
        <v>-40000</v>
      </c>
      <c r="D34">
        <v>0</v>
      </c>
      <c r="F34" t="s">
        <v>65</v>
      </c>
      <c r="G34">
        <v>-7468</v>
      </c>
      <c r="H34">
        <v>-7825</v>
      </c>
      <c r="I34">
        <v>-6887</v>
      </c>
    </row>
    <row r="35" spans="1:9" x14ac:dyDescent="0.25">
      <c r="A35" t="s">
        <v>115</v>
      </c>
      <c r="B35">
        <v>0</v>
      </c>
      <c r="C35">
        <v>0</v>
      </c>
      <c r="D35">
        <v>-10000</v>
      </c>
      <c r="F35" t="s">
        <v>155</v>
      </c>
      <c r="G35">
        <v>30</v>
      </c>
      <c r="H35">
        <v>0</v>
      </c>
      <c r="I35">
        <v>0</v>
      </c>
    </row>
    <row r="36" spans="1:9" x14ac:dyDescent="0.25">
      <c r="A36" t="s">
        <v>116</v>
      </c>
      <c r="B36">
        <v>0</v>
      </c>
      <c r="C36">
        <v>-5000</v>
      </c>
      <c r="D36">
        <v>-29325</v>
      </c>
      <c r="F36" t="s">
        <v>113</v>
      </c>
      <c r="G36">
        <v>-5378</v>
      </c>
      <c r="H36">
        <v>0</v>
      </c>
      <c r="I36">
        <v>-86</v>
      </c>
    </row>
    <row r="37" spans="1:9" x14ac:dyDescent="0.25">
      <c r="A37" t="s">
        <v>66</v>
      </c>
      <c r="B37">
        <v>-175286</v>
      </c>
      <c r="C37">
        <v>-91757</v>
      </c>
      <c r="D37">
        <v>-91762</v>
      </c>
      <c r="F37" t="s">
        <v>114</v>
      </c>
      <c r="G37">
        <v>-473304</v>
      </c>
      <c r="H37">
        <v>0</v>
      </c>
      <c r="I37">
        <v>0</v>
      </c>
    </row>
    <row r="38" spans="1:9" x14ac:dyDescent="0.25">
      <c r="A38" t="s">
        <v>117</v>
      </c>
      <c r="B38" t="s">
        <v>73</v>
      </c>
      <c r="C38" t="s">
        <v>73</v>
      </c>
      <c r="D38" t="s">
        <v>73</v>
      </c>
      <c r="F38" t="s">
        <v>156</v>
      </c>
      <c r="G38">
        <v>-30577</v>
      </c>
      <c r="H38">
        <v>0</v>
      </c>
      <c r="I38">
        <v>0</v>
      </c>
    </row>
    <row r="39" spans="1:9" x14ac:dyDescent="0.25">
      <c r="A39" t="s">
        <v>118</v>
      </c>
      <c r="B39">
        <v>175000</v>
      </c>
      <c r="C39">
        <v>350000</v>
      </c>
      <c r="D39">
        <v>0</v>
      </c>
      <c r="F39" t="s">
        <v>157</v>
      </c>
      <c r="G39">
        <v>84546</v>
      </c>
      <c r="H39">
        <v>0</v>
      </c>
      <c r="I39">
        <v>0</v>
      </c>
    </row>
    <row r="40" spans="1:9" x14ac:dyDescent="0.25">
      <c r="A40" t="s">
        <v>119</v>
      </c>
      <c r="B40">
        <v>-2696</v>
      </c>
      <c r="C40">
        <v>-4173</v>
      </c>
      <c r="D40">
        <v>0</v>
      </c>
      <c r="F40" t="s">
        <v>66</v>
      </c>
      <c r="G40">
        <v>-432151</v>
      </c>
      <c r="H40">
        <v>-7825</v>
      </c>
      <c r="I40">
        <v>-6973</v>
      </c>
    </row>
    <row r="41" spans="1:9" x14ac:dyDescent="0.25">
      <c r="A41" t="s">
        <v>120</v>
      </c>
      <c r="B41">
        <v>-17188</v>
      </c>
      <c r="C41">
        <v>-409813</v>
      </c>
      <c r="D41">
        <v>-185000</v>
      </c>
      <c r="F41" t="s">
        <v>117</v>
      </c>
    </row>
    <row r="42" spans="1:9" x14ac:dyDescent="0.25">
      <c r="A42" t="s">
        <v>121</v>
      </c>
      <c r="B42">
        <v>8068</v>
      </c>
      <c r="C42">
        <v>8780</v>
      </c>
      <c r="D42">
        <v>5006</v>
      </c>
      <c r="F42" t="s">
        <v>158</v>
      </c>
      <c r="G42">
        <v>416846</v>
      </c>
      <c r="H42">
        <v>0</v>
      </c>
      <c r="I42">
        <v>0</v>
      </c>
    </row>
    <row r="43" spans="1:9" x14ac:dyDescent="0.25">
      <c r="A43" t="s">
        <v>122</v>
      </c>
      <c r="B43">
        <v>-3535</v>
      </c>
      <c r="C43">
        <v>-13149</v>
      </c>
      <c r="D43">
        <v>-28896</v>
      </c>
      <c r="F43" t="s">
        <v>120</v>
      </c>
      <c r="G43">
        <v>-70000</v>
      </c>
      <c r="H43">
        <v>-93000</v>
      </c>
      <c r="I43">
        <v>-50000</v>
      </c>
    </row>
    <row r="44" spans="1:9" x14ac:dyDescent="0.25">
      <c r="A44" t="s">
        <v>123</v>
      </c>
      <c r="B44">
        <v>0</v>
      </c>
      <c r="C44">
        <v>-23548</v>
      </c>
      <c r="D44">
        <v>-31511</v>
      </c>
      <c r="F44" t="s">
        <v>159</v>
      </c>
      <c r="G44">
        <v>-334</v>
      </c>
      <c r="H44">
        <v>0</v>
      </c>
      <c r="I44">
        <v>0</v>
      </c>
    </row>
    <row r="45" spans="1:9" x14ac:dyDescent="0.25">
      <c r="A45" t="s">
        <v>69</v>
      </c>
      <c r="B45">
        <v>159649</v>
      </c>
      <c r="C45">
        <v>-91903</v>
      </c>
      <c r="D45">
        <v>-240401</v>
      </c>
      <c r="F45" t="s">
        <v>121</v>
      </c>
      <c r="G45">
        <v>12052</v>
      </c>
      <c r="H45">
        <v>6839</v>
      </c>
      <c r="I45">
        <v>8603</v>
      </c>
    </row>
    <row r="46" spans="1:9" x14ac:dyDescent="0.25">
      <c r="A46" t="s">
        <v>124</v>
      </c>
      <c r="B46">
        <v>-1039</v>
      </c>
      <c r="C46">
        <v>-2869</v>
      </c>
      <c r="D46">
        <v>56</v>
      </c>
      <c r="F46" t="s">
        <v>122</v>
      </c>
      <c r="G46">
        <v>-11543</v>
      </c>
      <c r="H46">
        <v>-7623</v>
      </c>
      <c r="I46">
        <v>-11986</v>
      </c>
    </row>
    <row r="47" spans="1:9" x14ac:dyDescent="0.25">
      <c r="A47" t="s">
        <v>125</v>
      </c>
      <c r="B47">
        <v>56917</v>
      </c>
      <c r="C47">
        <v>-18296</v>
      </c>
      <c r="D47">
        <v>56619</v>
      </c>
      <c r="F47" t="s">
        <v>69</v>
      </c>
      <c r="G47">
        <v>347021</v>
      </c>
      <c r="H47">
        <v>-93784</v>
      </c>
      <c r="I47">
        <v>-53383</v>
      </c>
    </row>
    <row r="48" spans="1:9" x14ac:dyDescent="0.25">
      <c r="A48" t="s">
        <v>126</v>
      </c>
      <c r="B48">
        <v>93117</v>
      </c>
      <c r="C48">
        <v>150034</v>
      </c>
      <c r="D48">
        <v>131738</v>
      </c>
      <c r="F48" t="s">
        <v>124</v>
      </c>
      <c r="G48">
        <v>1582</v>
      </c>
      <c r="H48">
        <v>-1301</v>
      </c>
      <c r="I48">
        <v>934</v>
      </c>
    </row>
    <row r="49" spans="1:9" x14ac:dyDescent="0.25">
      <c r="A49" t="s">
        <v>127</v>
      </c>
      <c r="B49">
        <v>150034</v>
      </c>
      <c r="C49">
        <v>131738</v>
      </c>
      <c r="D49">
        <v>188357</v>
      </c>
      <c r="F49" t="s">
        <v>125</v>
      </c>
      <c r="G49">
        <v>-8484</v>
      </c>
      <c r="H49">
        <v>-221</v>
      </c>
      <c r="I49">
        <v>18926</v>
      </c>
    </row>
    <row r="50" spans="1:9" x14ac:dyDescent="0.25">
      <c r="A50" t="s">
        <v>128</v>
      </c>
      <c r="B50" t="s">
        <v>73</v>
      </c>
      <c r="C50" t="s">
        <v>73</v>
      </c>
      <c r="D50" t="s">
        <v>73</v>
      </c>
      <c r="F50" t="s">
        <v>126</v>
      </c>
      <c r="G50">
        <v>82896</v>
      </c>
      <c r="H50">
        <v>74412</v>
      </c>
      <c r="I50">
        <v>74191</v>
      </c>
    </row>
    <row r="51" spans="1:9" x14ac:dyDescent="0.25">
      <c r="A51" t="s">
        <v>129</v>
      </c>
      <c r="B51">
        <v>11082</v>
      </c>
      <c r="C51">
        <v>11034</v>
      </c>
      <c r="D51">
        <v>9078</v>
      </c>
      <c r="F51" t="s">
        <v>127</v>
      </c>
      <c r="G51">
        <v>74412</v>
      </c>
      <c r="H51">
        <v>74191</v>
      </c>
      <c r="I51">
        <v>93117</v>
      </c>
    </row>
    <row r="52" spans="1:9" x14ac:dyDescent="0.25">
      <c r="A52" t="s">
        <v>130</v>
      </c>
      <c r="B52">
        <v>2822</v>
      </c>
      <c r="C52">
        <v>3839</v>
      </c>
      <c r="D52">
        <v>23829</v>
      </c>
      <c r="F52" t="s">
        <v>128</v>
      </c>
    </row>
    <row r="53" spans="1:9" x14ac:dyDescent="0.25">
      <c r="A53" t="s">
        <v>131</v>
      </c>
      <c r="B53" t="s">
        <v>73</v>
      </c>
      <c r="C53" t="s">
        <v>73</v>
      </c>
      <c r="D53" t="s">
        <v>73</v>
      </c>
      <c r="F53" t="s">
        <v>129</v>
      </c>
      <c r="G53">
        <v>8843</v>
      </c>
      <c r="H53">
        <v>13957</v>
      </c>
      <c r="I53">
        <v>11259</v>
      </c>
    </row>
    <row r="54" spans="1:9" x14ac:dyDescent="0.25">
      <c r="A54" t="s">
        <v>132</v>
      </c>
      <c r="B54">
        <v>17080</v>
      </c>
      <c r="C54">
        <v>0</v>
      </c>
      <c r="D54">
        <v>0</v>
      </c>
      <c r="F54" t="s">
        <v>130</v>
      </c>
      <c r="G54">
        <v>9435</v>
      </c>
      <c r="H54">
        <v>5426</v>
      </c>
      <c r="I54">
        <v>4417</v>
      </c>
    </row>
    <row r="55" spans="1:9" x14ac:dyDescent="0.25">
      <c r="A55" t="s">
        <v>133</v>
      </c>
      <c r="B55">
        <v>34100</v>
      </c>
      <c r="C55">
        <v>0</v>
      </c>
      <c r="D55">
        <v>0</v>
      </c>
      <c r="F55" t="s">
        <v>160</v>
      </c>
    </row>
    <row r="56" spans="1:9" x14ac:dyDescent="0.25">
      <c r="A56" t="s">
        <v>134</v>
      </c>
      <c r="B56">
        <v>3258</v>
      </c>
      <c r="C56">
        <v>23981</v>
      </c>
      <c r="D56">
        <v>38826</v>
      </c>
      <c r="F56" t="s">
        <v>134</v>
      </c>
      <c r="G56">
        <v>3314</v>
      </c>
      <c r="H56">
        <v>6997</v>
      </c>
      <c r="I56">
        <v>7632</v>
      </c>
    </row>
    <row r="57" spans="1:9" x14ac:dyDescent="0.25">
      <c r="F57" t="s">
        <v>161</v>
      </c>
      <c r="G57">
        <v>818</v>
      </c>
      <c r="H57">
        <v>0</v>
      </c>
      <c r="I57">
        <v>0</v>
      </c>
    </row>
  </sheetData>
  <sortState xmlns:xlrd2="http://schemas.microsoft.com/office/spreadsheetml/2017/richdata2" columnSort="1" ref="G2:I57">
    <sortCondition ref="G2: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MXL DCF</vt:lpstr>
      <vt:lpstr>WACC</vt:lpstr>
      <vt:lpstr>Raw IS</vt:lpstr>
      <vt:lpstr>Raw 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2023-08-01T08:22:13Z</dcterms:modified>
</cp:coreProperties>
</file>