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8A5217F3-8607-4152-A1B9-41683C1856F4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AMD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1" i="1" l="1"/>
  <c r="L70" i="1"/>
  <c r="L67" i="1"/>
  <c r="L68" i="1"/>
  <c r="E5" i="1"/>
  <c r="G57" i="1"/>
  <c r="H57" i="1"/>
  <c r="C15" i="2"/>
  <c r="K15" i="2" s="1"/>
  <c r="D68" i="1"/>
  <c r="G13" i="2" s="1"/>
  <c r="D67" i="1"/>
  <c r="O12" i="1"/>
  <c r="P12" i="1"/>
  <c r="Q12" i="1" s="1"/>
  <c r="R12" i="1" s="1"/>
  <c r="N12" i="1"/>
  <c r="D8" i="2"/>
  <c r="H61" i="1"/>
  <c r="H45" i="1"/>
  <c r="F45" i="1"/>
  <c r="D45" i="1"/>
  <c r="E45" i="1"/>
  <c r="G45" i="1"/>
  <c r="C45" i="1"/>
  <c r="H35" i="1"/>
  <c r="C59" i="1"/>
  <c r="D59" i="1"/>
  <c r="E59" i="1"/>
  <c r="F59" i="1"/>
  <c r="G59" i="1"/>
  <c r="C39" i="1"/>
  <c r="D39" i="1"/>
  <c r="E39" i="1"/>
  <c r="F39" i="1"/>
  <c r="G39" i="1"/>
  <c r="C37" i="1"/>
  <c r="D37" i="1"/>
  <c r="E37" i="1"/>
  <c r="F37" i="1"/>
  <c r="F41" i="1" s="1"/>
  <c r="F57" i="1" s="1"/>
  <c r="G37" i="1"/>
  <c r="C34" i="1"/>
  <c r="D34" i="1"/>
  <c r="E34" i="1"/>
  <c r="F34" i="1"/>
  <c r="G34" i="1"/>
  <c r="H59" i="1"/>
  <c r="H39" i="1"/>
  <c r="H34" i="1"/>
  <c r="H37" i="1"/>
  <c r="D71" i="1"/>
  <c r="C13" i="2" s="1"/>
  <c r="D32" i="1" l="1"/>
  <c r="E32" i="1"/>
  <c r="F32" i="1"/>
  <c r="G32" i="1"/>
  <c r="H32" i="1"/>
  <c r="C32" i="1"/>
  <c r="D29" i="1"/>
  <c r="E29" i="1"/>
  <c r="F29" i="1"/>
  <c r="G29" i="1"/>
  <c r="H29" i="1"/>
  <c r="C29" i="1"/>
  <c r="E26" i="1"/>
  <c r="G26" i="1"/>
  <c r="C26" i="1"/>
  <c r="D23" i="1"/>
  <c r="E23" i="1"/>
  <c r="F23" i="1"/>
  <c r="G23" i="1"/>
  <c r="H23" i="1"/>
  <c r="C23" i="1"/>
  <c r="D20" i="1"/>
  <c r="E20" i="1"/>
  <c r="F20" i="1"/>
  <c r="G20" i="1"/>
  <c r="H20" i="1"/>
  <c r="C20" i="1"/>
  <c r="F52" i="1"/>
  <c r="G52" i="1"/>
  <c r="H52" i="1"/>
  <c r="E52" i="1"/>
  <c r="D52" i="1"/>
  <c r="C52" i="1"/>
  <c r="D49" i="1"/>
  <c r="C49" i="1"/>
  <c r="F49" i="1"/>
  <c r="H49" i="1"/>
  <c r="F35" i="1"/>
  <c r="D35" i="1"/>
  <c r="D26" i="1"/>
  <c r="G55" i="1"/>
  <c r="H55" i="1"/>
  <c r="G49" i="1"/>
  <c r="F26" i="1"/>
  <c r="H26" i="1"/>
  <c r="G16" i="1"/>
  <c r="G17" i="1" s="1"/>
  <c r="F16" i="1"/>
  <c r="H16" i="1"/>
  <c r="E55" i="1"/>
  <c r="D55" i="1"/>
  <c r="C55" i="1"/>
  <c r="E49" i="1"/>
  <c r="D47" i="1"/>
  <c r="E47" i="1" s="1"/>
  <c r="E16" i="1"/>
  <c r="E17" i="1" s="1"/>
  <c r="D16" i="1"/>
  <c r="C16" i="1"/>
  <c r="H12" i="1"/>
  <c r="G12" i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C17" i="1" l="1"/>
  <c r="F55" i="1"/>
  <c r="K13" i="2"/>
  <c r="D17" i="1"/>
  <c r="H17" i="1"/>
  <c r="F17" i="1"/>
  <c r="C35" i="1"/>
  <c r="E35" i="1"/>
  <c r="G35" i="1"/>
  <c r="D41" i="1" l="1"/>
  <c r="D57" i="1" s="1"/>
  <c r="D61" i="1" s="1"/>
  <c r="H41" i="1"/>
  <c r="C14" i="2"/>
  <c r="G14" i="2"/>
  <c r="G41" i="1"/>
  <c r="E41" i="1"/>
  <c r="C41" i="1"/>
  <c r="D42" i="1" l="1"/>
  <c r="E57" i="1"/>
  <c r="E61" i="1" s="1"/>
  <c r="C57" i="1"/>
  <c r="C61" i="1" s="1"/>
  <c r="F61" i="1"/>
  <c r="F42" i="1"/>
  <c r="H42" i="1"/>
  <c r="G61" i="1"/>
  <c r="G42" i="1"/>
  <c r="C42" i="1"/>
  <c r="E42" i="1"/>
  <c r="I51" i="1" l="1"/>
  <c r="I48" i="1"/>
  <c r="I31" i="1"/>
  <c r="I25" i="1"/>
  <c r="I19" i="1"/>
  <c r="I22" i="1"/>
  <c r="I28" i="1"/>
  <c r="I54" i="1"/>
  <c r="I16" i="1"/>
  <c r="I37" i="1" s="1"/>
  <c r="I41" i="1" l="1"/>
  <c r="I39" i="1"/>
  <c r="J19" i="1"/>
  <c r="J54" i="1"/>
  <c r="J48" i="1"/>
  <c r="J28" i="1"/>
  <c r="J16" i="1"/>
  <c r="J25" i="1"/>
  <c r="J51" i="1"/>
  <c r="J22" i="1"/>
  <c r="J31" i="1"/>
  <c r="I14" i="1"/>
  <c r="I34" i="1"/>
  <c r="I35" i="1" s="1"/>
  <c r="J37" i="1" l="1"/>
  <c r="J39" i="1" s="1"/>
  <c r="J41" i="1"/>
  <c r="K48" i="1"/>
  <c r="K54" i="1"/>
  <c r="K51" i="1"/>
  <c r="K22" i="1"/>
  <c r="K19" i="1"/>
  <c r="K16" i="1"/>
  <c r="K14" i="1" s="1"/>
  <c r="K28" i="1"/>
  <c r="K25" i="1"/>
  <c r="K31" i="1"/>
  <c r="J14" i="1"/>
  <c r="J34" i="1"/>
  <c r="J35" i="1" s="1"/>
  <c r="I42" i="1"/>
  <c r="I44" i="1"/>
  <c r="I59" i="1" s="1"/>
  <c r="K34" i="1" l="1"/>
  <c r="K35" i="1" s="1"/>
  <c r="L19" i="1"/>
  <c r="L48" i="1"/>
  <c r="L54" i="1"/>
  <c r="L31" i="1"/>
  <c r="L16" i="1"/>
  <c r="L28" i="1"/>
  <c r="L22" i="1"/>
  <c r="L51" i="1"/>
  <c r="L25" i="1"/>
  <c r="J42" i="1"/>
  <c r="J44" i="1"/>
  <c r="J57" i="1" s="1"/>
  <c r="J61" i="1" s="1"/>
  <c r="J62" i="1" s="1"/>
  <c r="I57" i="1"/>
  <c r="I61" i="1" s="1"/>
  <c r="I62" i="1" s="1"/>
  <c r="K37" i="1"/>
  <c r="J59" i="1" l="1"/>
  <c r="L37" i="1"/>
  <c r="M48" i="1"/>
  <c r="M22" i="1"/>
  <c r="M31" i="1"/>
  <c r="M54" i="1"/>
  <c r="M19" i="1"/>
  <c r="M28" i="1"/>
  <c r="N11" i="1"/>
  <c r="M25" i="1"/>
  <c r="M51" i="1"/>
  <c r="M16" i="1"/>
  <c r="L14" i="1"/>
  <c r="L34" i="1"/>
  <c r="L35" i="1" s="1"/>
  <c r="K41" i="1"/>
  <c r="K39" i="1"/>
  <c r="M34" i="1" l="1"/>
  <c r="M35" i="1" s="1"/>
  <c r="M37" i="1"/>
  <c r="K42" i="1"/>
  <c r="K44" i="1"/>
  <c r="K59" i="1" s="1"/>
  <c r="N19" i="1"/>
  <c r="N22" i="1"/>
  <c r="N25" i="1"/>
  <c r="N28" i="1"/>
  <c r="N51" i="1"/>
  <c r="N31" i="1"/>
  <c r="N54" i="1"/>
  <c r="N48" i="1"/>
  <c r="N16" i="1"/>
  <c r="O11" i="1"/>
  <c r="M14" i="1"/>
  <c r="L39" i="1"/>
  <c r="L41" i="1"/>
  <c r="N37" i="1" l="1"/>
  <c r="N41" i="1" s="1"/>
  <c r="L44" i="1"/>
  <c r="L57" i="1" s="1"/>
  <c r="L61" i="1" s="1"/>
  <c r="L62" i="1" s="1"/>
  <c r="L42" i="1"/>
  <c r="N14" i="1"/>
  <c r="K57" i="1"/>
  <c r="K61" i="1" s="1"/>
  <c r="K62" i="1" s="1"/>
  <c r="O25" i="1"/>
  <c r="O48" i="1"/>
  <c r="O31" i="1"/>
  <c r="O16" i="1"/>
  <c r="O22" i="1"/>
  <c r="O28" i="1"/>
  <c r="P11" i="1"/>
  <c r="O54" i="1"/>
  <c r="O51" i="1"/>
  <c r="O19" i="1"/>
  <c r="N34" i="1"/>
  <c r="N35" i="1" s="1"/>
  <c r="M39" i="1"/>
  <c r="M41" i="1"/>
  <c r="N39" i="1" l="1"/>
  <c r="O34" i="1"/>
  <c r="O35" i="1" s="1"/>
  <c r="L59" i="1"/>
  <c r="O37" i="1"/>
  <c r="O39" i="1" s="1"/>
  <c r="N44" i="1"/>
  <c r="N42" i="1"/>
  <c r="N57" i="1"/>
  <c r="N61" i="1" s="1"/>
  <c r="N62" i="1" s="1"/>
  <c r="M42" i="1"/>
  <c r="M44" i="1"/>
  <c r="M59" i="1" s="1"/>
  <c r="P28" i="1"/>
  <c r="P48" i="1"/>
  <c r="P22" i="1"/>
  <c r="P25" i="1"/>
  <c r="P16" i="1"/>
  <c r="P19" i="1"/>
  <c r="P54" i="1"/>
  <c r="P51" i="1"/>
  <c r="P31" i="1"/>
  <c r="Q11" i="1"/>
  <c r="O14" i="1"/>
  <c r="N59" i="1"/>
  <c r="P37" i="1" l="1"/>
  <c r="P39" i="1" s="1"/>
  <c r="O41" i="1"/>
  <c r="O42" i="1" s="1"/>
  <c r="P14" i="1"/>
  <c r="P34" i="1"/>
  <c r="P35" i="1" s="1"/>
  <c r="M57" i="1"/>
  <c r="M61" i="1" s="1"/>
  <c r="M62" i="1" s="1"/>
  <c r="Q48" i="1"/>
  <c r="Q22" i="1"/>
  <c r="Q25" i="1"/>
  <c r="Q51" i="1"/>
  <c r="Q31" i="1"/>
  <c r="Q54" i="1"/>
  <c r="R11" i="1"/>
  <c r="Q28" i="1"/>
  <c r="Q19" i="1"/>
  <c r="Q16" i="1"/>
  <c r="Q14" i="1" s="1"/>
  <c r="O44" i="1"/>
  <c r="O57" i="1" s="1"/>
  <c r="O61" i="1" s="1"/>
  <c r="O62" i="1" s="1"/>
  <c r="P41" i="1" l="1"/>
  <c r="P42" i="1" s="1"/>
  <c r="Q34" i="1"/>
  <c r="Q35" i="1" s="1"/>
  <c r="O59" i="1"/>
  <c r="P44" i="1"/>
  <c r="P57" i="1" s="1"/>
  <c r="P61" i="1" s="1"/>
  <c r="P62" i="1" s="1"/>
  <c r="Q37" i="1"/>
  <c r="R31" i="1"/>
  <c r="R28" i="1"/>
  <c r="R25" i="1"/>
  <c r="R22" i="1"/>
  <c r="R19" i="1"/>
  <c r="R54" i="1"/>
  <c r="R48" i="1"/>
  <c r="R51" i="1"/>
  <c r="R16" i="1"/>
  <c r="R37" i="1" l="1"/>
  <c r="R41" i="1" s="1"/>
  <c r="P59" i="1"/>
  <c r="R39" i="1"/>
  <c r="R14" i="1"/>
  <c r="Q39" i="1"/>
  <c r="Q41" i="1"/>
  <c r="R34" i="1"/>
  <c r="R35" i="1" s="1"/>
  <c r="R44" i="1" l="1"/>
  <c r="R57" i="1" s="1"/>
  <c r="R61" i="1" s="1"/>
  <c r="R42" i="1"/>
  <c r="Q42" i="1"/>
  <c r="Q44" i="1"/>
  <c r="Q59" i="1" s="1"/>
  <c r="R59" i="1" l="1"/>
  <c r="S59" i="1" s="1"/>
  <c r="T59" i="1" s="1"/>
  <c r="U59" i="1" s="1"/>
  <c r="V59" i="1" s="1"/>
  <c r="W59" i="1" s="1"/>
  <c r="X59" i="1" s="1"/>
  <c r="Y59" i="1" s="1"/>
  <c r="Z59" i="1" s="1"/>
  <c r="AA59" i="1" s="1"/>
  <c r="AB59" i="1" s="1"/>
  <c r="AC59" i="1" s="1"/>
  <c r="AD59" i="1" s="1"/>
  <c r="AE59" i="1" s="1"/>
  <c r="AF59" i="1" s="1"/>
  <c r="AG59" i="1" s="1"/>
  <c r="AH59" i="1" s="1"/>
  <c r="AI59" i="1" s="1"/>
  <c r="AJ59" i="1" s="1"/>
  <c r="AK59" i="1" s="1"/>
  <c r="AL59" i="1" s="1"/>
  <c r="AM59" i="1" s="1"/>
  <c r="AN59" i="1" s="1"/>
  <c r="AO59" i="1" s="1"/>
  <c r="AP59" i="1" s="1"/>
  <c r="AQ59" i="1" s="1"/>
  <c r="AR59" i="1" s="1"/>
  <c r="AS59" i="1" s="1"/>
  <c r="AT59" i="1" s="1"/>
  <c r="AU59" i="1" s="1"/>
  <c r="AV59" i="1" s="1"/>
  <c r="AW59" i="1" s="1"/>
  <c r="AX59" i="1" s="1"/>
  <c r="AY59" i="1" s="1"/>
  <c r="AZ59" i="1" s="1"/>
  <c r="BA59" i="1" s="1"/>
  <c r="BB59" i="1" s="1"/>
  <c r="BC59" i="1" s="1"/>
  <c r="BD59" i="1" s="1"/>
  <c r="BE59" i="1" s="1"/>
  <c r="BF59" i="1" s="1"/>
  <c r="BG59" i="1" s="1"/>
  <c r="BH59" i="1" s="1"/>
  <c r="BI59" i="1" s="1"/>
  <c r="BJ59" i="1" s="1"/>
  <c r="BK59" i="1" s="1"/>
  <c r="BL59" i="1" s="1"/>
  <c r="BM59" i="1" s="1"/>
  <c r="BN59" i="1" s="1"/>
  <c r="BO59" i="1" s="1"/>
  <c r="BP59" i="1" s="1"/>
  <c r="BQ59" i="1" s="1"/>
  <c r="BR59" i="1" s="1"/>
  <c r="BS59" i="1" s="1"/>
  <c r="BT59" i="1" s="1"/>
  <c r="BU59" i="1" s="1"/>
  <c r="BV59" i="1" s="1"/>
  <c r="BW59" i="1" s="1"/>
  <c r="BX59" i="1" s="1"/>
  <c r="BY59" i="1" s="1"/>
  <c r="BZ59" i="1" s="1"/>
  <c r="CA59" i="1" s="1"/>
  <c r="CB59" i="1" s="1"/>
  <c r="CC59" i="1" s="1"/>
  <c r="CD59" i="1" s="1"/>
  <c r="CE59" i="1" s="1"/>
  <c r="CF59" i="1" s="1"/>
  <c r="CG59" i="1" s="1"/>
  <c r="CH59" i="1" s="1"/>
  <c r="Q57" i="1"/>
  <c r="Q61" i="1" s="1"/>
  <c r="Q62" i="1" s="1"/>
  <c r="R62" i="1"/>
  <c r="C64" i="1"/>
  <c r="C65" i="1" s="1"/>
  <c r="F64" i="1"/>
  <c r="H67" i="1" s="1"/>
  <c r="H69" i="1" s="1"/>
  <c r="H72" i="1" s="1"/>
  <c r="G67" i="1" l="1"/>
  <c r="G69" i="1" s="1"/>
  <c r="G72" i="1" s="1"/>
  <c r="D72" i="1" s="1"/>
  <c r="J6" i="1" s="1"/>
  <c r="N5" i="1" s="1"/>
  <c r="L66" i="1" l="1"/>
</calcChain>
</file>

<file path=xl/sharedStrings.xml><?xml version="1.0" encoding="utf-8"?>
<sst xmlns="http://schemas.openxmlformats.org/spreadsheetml/2006/main" count="88" uniqueCount="60">
  <si>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</si>
  <si>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</si>
  <si>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</si>
  <si>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</si>
  <si>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</si>
  <si>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</si>
  <si>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</si>
  <si>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</si>
  <si>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</si>
  <si>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</si>
  <si>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</si>
  <si>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</si>
  <si>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</si>
  <si>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 xml:space="preserve">Other 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</si>
  <si>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</si>
  <si>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</si>
  <si>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</si>
  <si>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</si>
  <si>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</si>
  <si>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</si>
  <si>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</si>
  <si>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</si>
  <si>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</si>
  <si>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</si>
  <si>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</si>
  <si>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</si>
  <si>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</si>
  <si>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</si>
  <si>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</si>
  <si>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</si>
  <si>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</si>
  <si>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</si>
  <si>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</si>
  <si>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</si>
  <si>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</si>
  <si>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</si>
  <si>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</si>
  <si>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</si>
  <si>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</si>
  <si>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</si>
  <si>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</si>
  <si>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</si>
  <si>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Other inc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</si>
  <si>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</si>
  <si>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</si>
  <si>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</si>
  <si>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</si>
  <si>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</si>
  <si>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</si>
  <si>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</si>
  <si>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</si>
  <si>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</si>
  <si>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</si>
  <si>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</si>
  <si>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Total interest</t>
  </si>
  <si>
    <t xml:space="preserve">                                             Terminal Growth Rate</t>
  </si>
  <si>
    <t>Last update</t>
  </si>
  <si>
    <t>SG&amp;A</t>
  </si>
  <si>
    <t>Advanced Micro Devices DCF</t>
  </si>
  <si>
    <t>Adj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</si>
</sst>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0" fontId="3" fillId="2" borderId="0" xfId="1" applyNumberFormat="1" applyFont="1" applyFill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164" fontId="7" fillId="2" borderId="0" xfId="1" applyNumberFormat="1" applyFont="1" applyFill="1" applyBorder="1"/>
    <xf numFmtId="0" fontId="0" fillId="7" borderId="0" xfId="0" applyFill="1"/>
    <xf numFmtId="0" fontId="3" fillId="8" borderId="0" xfId="0" applyFont="1" applyFill="1"/>
    <xf numFmtId="0" fontId="3" fillId="8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9" borderId="0" xfId="0" applyNumberFormat="1" applyFill="1"/>
    <xf numFmtId="164" fontId="0" fillId="9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9" borderId="0" xfId="1" applyNumberFormat="1" applyFont="1" applyFill="1" applyBorder="1" applyAlignment="1">
      <alignment horizontal="left"/>
    </xf>
    <xf numFmtId="2" fontId="9" fillId="10" borderId="0" xfId="0" applyNumberFormat="1" applyFont="1" applyFill="1"/>
    <xf numFmtId="164" fontId="0" fillId="9" borderId="0" xfId="1" applyNumberFormat="1" applyFont="1" applyFill="1" applyBorder="1" applyAlignment="1">
      <alignment horizontal="left"/>
    </xf>
    <xf numFmtId="3" fontId="3" fillId="7" borderId="0" xfId="0" applyNumberFormat="1" applyFont="1" applyFill="1"/>
    <xf numFmtId="1" fontId="3" fillId="2" borderId="1" xfId="0" applyNumberFormat="1" applyFont="1" applyFill="1" applyBorder="1"/>
    <xf numFmtId="0" fontId="6" fillId="4" borderId="4" xfId="0" applyFont="1" applyFill="1" applyBorder="1"/>
    <xf numFmtId="1" fontId="3" fillId="2" borderId="12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0" fontId="0" fillId="3" borderId="0" xfId="0" applyFill="1" applyAlignment="1">
      <alignment horizontal="right"/>
    </xf>
    <xf numFmtId="164" fontId="0" fillId="3" borderId="0" xfId="0" applyNumberFormat="1" applyFill="1" applyAlignment="1">
      <alignment horizontal="right"/>
    </xf>
    <xf numFmtId="0" fontId="3" fillId="2" borderId="0" xfId="0" applyFont="1" applyFill="1" applyBorder="1"/>
    <xf numFmtId="1" fontId="3" fillId="2" borderId="0" xfId="0" applyNumberFormat="1" applyFont="1" applyFill="1" applyBorder="1"/>
    <xf numFmtId="0" fontId="0" fillId="2" borderId="0" xfId="0" applyFill="1" applyBorder="1"/>
    <xf numFmtId="3" fontId="3" fillId="2" borderId="0" xfId="0" applyNumberFormat="1" applyFont="1" applyFill="1" applyBorder="1"/>
    <xf numFmtId="0" fontId="6" fillId="3" borderId="0" xfId="0" applyFont="1" applyFill="1" applyBorder="1"/>
    <xf numFmtId="164" fontId="7" fillId="5" borderId="0" xfId="1" applyNumberFormat="1" applyFont="1" applyFill="1"/>
    <xf numFmtId="164" fontId="7" fillId="5" borderId="4" xfId="1" applyNumberFormat="1" applyFont="1" applyFill="1" applyBorder="1"/>
    <xf numFmtId="164" fontId="7" fillId="5" borderId="0" xfId="1" applyNumberFormat="1" applyFont="1" applyFill="1" applyBorder="1"/>
    <xf numFmtId="10" fontId="7" fillId="5" borderId="4" xfId="0" applyNumberFormat="1" applyFont="1" applyFill="1" applyBorder="1"/>
    <xf numFmtId="10" fontId="7" fillId="5" borderId="0" xfId="0" applyNumberFormat="1" applyFont="1" applyFill="1" applyBorder="1"/>
    <xf numFmtId="0" fontId="3" fillId="5" borderId="0" xfId="0" applyFont="1" applyFill="1"/>
    <xf numFmtId="0" fontId="7" fillId="5" borderId="0" xfId="0" applyFont="1" applyFill="1"/>
    <xf numFmtId="164" fontId="3" fillId="5" borderId="0" xfId="1" applyNumberFormat="1" applyFont="1" applyFill="1"/>
    <xf numFmtId="164" fontId="3" fillId="5" borderId="4" xfId="0" applyNumberFormat="1" applyFont="1" applyFill="1" applyBorder="1"/>
    <xf numFmtId="164" fontId="3" fillId="5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3"/>
  <sheetViews>
    <sheetView tabSelected="1" topLeftCell="A58" workbookViewId="0">
      <selection activeCell="D64" sqref="D64"/>
    </sheetView>
  </sheetViews>
  <sheetFormatPr defaultRowHeight="15" x14ac:dyDescent="0.25"/>
  <cols>
    <col min="1" max="1" width="7.7109375" style="2" customWidth="1"/>
    <col min="2" max="2" width="14.5703125" style="2" customWidth="1"/>
    <col min="3" max="13" width="9.140625" style="2"/>
    <col min="14" max="14" width="10.7109375" style="2" bestFit="1" customWidth="1"/>
    <col min="15" max="15" width="9.140625" style="2"/>
    <col min="16" max="16" width="10.7109375" style="2" customWidth="1"/>
    <col min="17" max="18" width="9.140625" style="2"/>
    <col min="19" max="16384" width="9.140625" style="50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0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WACC!K15</f>
        <v>0.13044254149269024</v>
      </c>
      <c r="G5" s="1"/>
      <c r="H5" s="1" t="s">
        <v>2</v>
      </c>
      <c r="I5" s="1"/>
      <c r="J5" s="7">
        <v>117.86</v>
      </c>
      <c r="K5" s="1"/>
      <c r="L5" s="1" t="s">
        <v>3</v>
      </c>
      <c r="M5" s="1"/>
      <c r="N5" s="68">
        <f>(J6/J5)-1</f>
        <v>-0.25682836311857993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0.04</v>
      </c>
      <c r="G6" s="1"/>
      <c r="H6" s="1" t="s">
        <v>5</v>
      </c>
      <c r="I6" s="1"/>
      <c r="J6" s="7">
        <f>D72</f>
        <v>87.590209122844172</v>
      </c>
      <c r="K6" s="1"/>
      <c r="L6" s="1" t="s">
        <v>56</v>
      </c>
      <c r="M6" s="1"/>
      <c r="N6" s="67">
        <v>45051</v>
      </c>
      <c r="O6" s="1"/>
      <c r="P6" s="1"/>
      <c r="Q6" s="1"/>
    </row>
    <row r="7" spans="1:86" x14ac:dyDescent="0.25">
      <c r="B7" s="67"/>
      <c r="C7" s="1"/>
      <c r="D7" s="1"/>
      <c r="E7" s="9"/>
      <c r="F7" s="1"/>
      <c r="G7" s="1"/>
      <c r="H7" s="1"/>
      <c r="I7" s="1"/>
      <c r="J7" s="1"/>
      <c r="K7" s="1"/>
      <c r="L7" s="56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38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1">
        <v>2019</v>
      </c>
      <c r="F10" s="10">
        <v>2020</v>
      </c>
      <c r="G10" s="10">
        <v>2021</v>
      </c>
      <c r="H10" s="10">
        <v>2022</v>
      </c>
      <c r="I10" s="63">
        <v>2023</v>
      </c>
      <c r="J10" s="11">
        <v>2024</v>
      </c>
      <c r="K10" s="11">
        <v>2025</v>
      </c>
      <c r="L10" s="11">
        <v>2026</v>
      </c>
      <c r="M10" s="11">
        <v>2027</v>
      </c>
      <c r="N10" s="11">
        <v>2028</v>
      </c>
      <c r="O10" s="11">
        <v>2029</v>
      </c>
      <c r="P10" s="11">
        <v>2030</v>
      </c>
      <c r="Q10" s="11">
        <v>2031</v>
      </c>
      <c r="R10" s="11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v>5253</v>
      </c>
      <c r="D11" s="12">
        <v>6475</v>
      </c>
      <c r="E11" s="12">
        <v>6731</v>
      </c>
      <c r="F11" s="12">
        <v>9763</v>
      </c>
      <c r="G11" s="12">
        <v>16434</v>
      </c>
      <c r="H11" s="12">
        <v>23601</v>
      </c>
      <c r="I11" s="21">
        <v>22970</v>
      </c>
      <c r="J11" s="19">
        <v>27130</v>
      </c>
      <c r="K11" s="19">
        <v>30860</v>
      </c>
      <c r="L11" s="19">
        <v>37410</v>
      </c>
      <c r="M11" s="19">
        <v>41300</v>
      </c>
      <c r="N11" s="19">
        <f t="shared" ref="J11:R11" si="1">M11*(1+N12)</f>
        <v>45470.593450948945</v>
      </c>
      <c r="O11" s="19">
        <f t="shared" si="1"/>
        <v>49925.933710724174</v>
      </c>
      <c r="P11" s="19">
        <f t="shared" si="1"/>
        <v>54668.043294088326</v>
      </c>
      <c r="Q11" s="19">
        <f t="shared" si="1"/>
        <v>59696.568031282157</v>
      </c>
      <c r="R11" s="19">
        <f t="shared" si="1"/>
        <v>65008.541313584581</v>
      </c>
    </row>
    <row r="12" spans="1:86" x14ac:dyDescent="0.25">
      <c r="A12" s="82"/>
      <c r="B12" s="83" t="s">
        <v>8</v>
      </c>
      <c r="C12" s="77"/>
      <c r="D12" s="77">
        <f>(D11/C11)-1</f>
        <v>0.23262897391966497</v>
      </c>
      <c r="E12" s="77">
        <f t="shared" ref="E12:H12" si="2">(E11/D11)-1</f>
        <v>3.9536679536679609E-2</v>
      </c>
      <c r="F12" s="77">
        <f t="shared" si="2"/>
        <v>0.45045312732134901</v>
      </c>
      <c r="G12" s="77">
        <f t="shared" si="2"/>
        <v>0.68329406944586712</v>
      </c>
      <c r="H12" s="77">
        <f t="shared" si="2"/>
        <v>0.43610806863818907</v>
      </c>
      <c r="I12" s="78">
        <v>-2.6736155247659044E-2</v>
      </c>
      <c r="J12" s="77">
        <v>0.18110579016107975</v>
      </c>
      <c r="K12" s="77">
        <v>0.13748617766310356</v>
      </c>
      <c r="L12" s="77">
        <v>0.21224886584575509</v>
      </c>
      <c r="M12" s="77">
        <v>0.10398289227479274</v>
      </c>
      <c r="N12" s="79">
        <f>M12-0.3%</f>
        <v>0.10098289227479273</v>
      </c>
      <c r="O12" s="79">
        <f t="shared" ref="O12:R12" si="3">N12-0.3%</f>
        <v>9.7982892274792732E-2</v>
      </c>
      <c r="P12" s="79">
        <f t="shared" si="3"/>
        <v>9.498289227479273E-2</v>
      </c>
      <c r="Q12" s="79">
        <f t="shared" si="3"/>
        <v>9.1982892274792727E-2</v>
      </c>
      <c r="R12" s="79">
        <f t="shared" si="3"/>
        <v>8.8982892274792724E-2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13"/>
      <c r="J13" s="1"/>
      <c r="K13" s="1"/>
      <c r="L13" s="1"/>
      <c r="M13" s="1"/>
      <c r="N13" s="1"/>
      <c r="O13" s="1"/>
      <c r="P13" s="1"/>
      <c r="Q13" s="1"/>
    </row>
    <row r="14" spans="1:86" x14ac:dyDescent="0.25">
      <c r="A14" s="1"/>
      <c r="B14" s="1" t="s">
        <v>9</v>
      </c>
      <c r="C14" s="12">
        <v>3466</v>
      </c>
      <c r="D14" s="12">
        <v>4028</v>
      </c>
      <c r="E14" s="12">
        <v>3863</v>
      </c>
      <c r="F14" s="12">
        <v>5416</v>
      </c>
      <c r="G14" s="12">
        <v>8505</v>
      </c>
      <c r="H14" s="36">
        <v>12998</v>
      </c>
      <c r="I14" s="64">
        <f>I11-I16</f>
        <v>11271.379000000001</v>
      </c>
      <c r="J14" s="62">
        <f t="shared" ref="J14:K14" si="4">J11-J16</f>
        <v>12547.625</v>
      </c>
      <c r="K14" s="62">
        <f t="shared" si="4"/>
        <v>13819.108</v>
      </c>
      <c r="L14" s="62">
        <f t="shared" ref="L14:R14" si="5">L11-L16</f>
        <v>16460.399999999998</v>
      </c>
      <c r="M14" s="62">
        <f t="shared" si="5"/>
        <v>18295.899999999998</v>
      </c>
      <c r="N14" s="62">
        <f t="shared" si="5"/>
        <v>20143.472898770382</v>
      </c>
      <c r="O14" s="62">
        <f t="shared" si="5"/>
        <v>22117.188633850805</v>
      </c>
      <c r="P14" s="62">
        <f t="shared" si="5"/>
        <v>24217.943179281127</v>
      </c>
      <c r="Q14" s="62">
        <f t="shared" si="5"/>
        <v>26445.579637857991</v>
      </c>
      <c r="R14" s="62">
        <f t="shared" si="5"/>
        <v>28798.783801917969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13"/>
      <c r="J15" s="1"/>
      <c r="K15" s="1"/>
      <c r="L15" s="1"/>
      <c r="M15" s="1"/>
      <c r="N15" s="1"/>
      <c r="O15" s="1"/>
      <c r="P15" s="1"/>
      <c r="Q15" s="1"/>
    </row>
    <row r="16" spans="1:86" x14ac:dyDescent="0.25">
      <c r="A16" s="1"/>
      <c r="B16" s="1" t="s">
        <v>10</v>
      </c>
      <c r="C16" s="12">
        <f t="shared" ref="C16:F16" si="6">C11-C14</f>
        <v>1787</v>
      </c>
      <c r="D16" s="12">
        <f t="shared" si="6"/>
        <v>2447</v>
      </c>
      <c r="E16" s="12">
        <f t="shared" si="6"/>
        <v>2868</v>
      </c>
      <c r="F16" s="12">
        <f t="shared" si="6"/>
        <v>4347</v>
      </c>
      <c r="G16" s="12">
        <f>G11-G14</f>
        <v>7929</v>
      </c>
      <c r="H16" s="12">
        <f>H11-H14</f>
        <v>10603</v>
      </c>
      <c r="I16" s="21">
        <f>I11*I17</f>
        <v>11698.620999999999</v>
      </c>
      <c r="J16" s="73">
        <f t="shared" ref="J16:R16" si="7">J11*J17</f>
        <v>14582.375</v>
      </c>
      <c r="K16" s="73">
        <f t="shared" si="7"/>
        <v>17040.892</v>
      </c>
      <c r="L16" s="73">
        <f t="shared" si="7"/>
        <v>20949.600000000002</v>
      </c>
      <c r="M16" s="73">
        <f t="shared" si="7"/>
        <v>23004.100000000002</v>
      </c>
      <c r="N16" s="73">
        <f t="shared" si="7"/>
        <v>25327.120552178563</v>
      </c>
      <c r="O16" s="73">
        <f t="shared" si="7"/>
        <v>27808.745076873369</v>
      </c>
      <c r="P16" s="73">
        <f t="shared" si="7"/>
        <v>30450.100114807199</v>
      </c>
      <c r="Q16" s="73">
        <f t="shared" si="7"/>
        <v>33250.988393424166</v>
      </c>
      <c r="R16" s="73">
        <f t="shared" si="7"/>
        <v>36209.757511666612</v>
      </c>
    </row>
    <row r="17" spans="1:18" x14ac:dyDescent="0.25">
      <c r="A17" s="82"/>
      <c r="B17" s="83" t="s">
        <v>11</v>
      </c>
      <c r="C17" s="77">
        <f>C16/C11</f>
        <v>0.34018656006091758</v>
      </c>
      <c r="D17" s="77">
        <f t="shared" ref="D17:H17" si="8">D16/D11</f>
        <v>0.37791505791505792</v>
      </c>
      <c r="E17" s="77">
        <f t="shared" si="8"/>
        <v>0.42608824840291187</v>
      </c>
      <c r="F17" s="77">
        <f t="shared" si="8"/>
        <v>0.44525248386766364</v>
      </c>
      <c r="G17" s="77">
        <f t="shared" si="8"/>
        <v>0.48247535596933189</v>
      </c>
      <c r="H17" s="77">
        <f t="shared" si="8"/>
        <v>0.4492606245498072</v>
      </c>
      <c r="I17" s="80">
        <v>0.50929999999999997</v>
      </c>
      <c r="J17" s="81">
        <v>0.53749999999999998</v>
      </c>
      <c r="K17" s="81">
        <v>0.55220000000000002</v>
      </c>
      <c r="L17" s="81">
        <v>0.56000000000000005</v>
      </c>
      <c r="M17" s="81">
        <v>0.55700000000000005</v>
      </c>
      <c r="N17" s="81">
        <v>0.55700000000000005</v>
      </c>
      <c r="O17" s="81">
        <v>0.55700000000000005</v>
      </c>
      <c r="P17" s="81">
        <v>0.55700000000000005</v>
      </c>
      <c r="Q17" s="81">
        <v>0.55700000000000005</v>
      </c>
      <c r="R17" s="81">
        <v>0.55700000000000005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13"/>
      <c r="J18" s="72"/>
      <c r="K18" s="72"/>
      <c r="L18" s="72"/>
      <c r="M18" s="72"/>
      <c r="N18" s="72"/>
      <c r="O18" s="72"/>
      <c r="P18" s="72"/>
      <c r="Q18" s="72"/>
      <c r="R18" s="74"/>
    </row>
    <row r="19" spans="1:18" x14ac:dyDescent="0.25">
      <c r="A19" s="1"/>
      <c r="B19" s="1" t="s">
        <v>12</v>
      </c>
      <c r="C19" s="12">
        <v>1196</v>
      </c>
      <c r="D19" s="12">
        <v>1434</v>
      </c>
      <c r="E19" s="12">
        <v>1547</v>
      </c>
      <c r="F19" s="12">
        <v>1983</v>
      </c>
      <c r="G19" s="12">
        <v>2845</v>
      </c>
      <c r="H19" s="12">
        <v>5005</v>
      </c>
      <c r="I19" s="21">
        <f>I20*I11</f>
        <v>4823.7</v>
      </c>
      <c r="J19" s="73">
        <f t="shared" ref="J19:R19" si="9">J20*J11</f>
        <v>5480.26</v>
      </c>
      <c r="K19" s="73">
        <f t="shared" si="9"/>
        <v>6172</v>
      </c>
      <c r="L19" s="73">
        <f t="shared" si="9"/>
        <v>6172.6500000000005</v>
      </c>
      <c r="M19" s="73">
        <f t="shared" si="9"/>
        <v>6608</v>
      </c>
      <c r="N19" s="73">
        <f t="shared" si="9"/>
        <v>7275.2949521518312</v>
      </c>
      <c r="O19" s="73">
        <f t="shared" si="9"/>
        <v>7988.1493937158675</v>
      </c>
      <c r="P19" s="73">
        <f t="shared" si="9"/>
        <v>8746.8869270541327</v>
      </c>
      <c r="Q19" s="73">
        <f t="shared" si="9"/>
        <v>9551.4508850051461</v>
      </c>
      <c r="R19" s="73">
        <f t="shared" si="9"/>
        <v>10401.366610173533</v>
      </c>
    </row>
    <row r="20" spans="1:18" x14ac:dyDescent="0.25">
      <c r="A20" s="82"/>
      <c r="B20" s="83" t="s">
        <v>19</v>
      </c>
      <c r="C20" s="77">
        <f>C19/C11</f>
        <v>0.22767942128307633</v>
      </c>
      <c r="D20" s="77">
        <f t="shared" ref="D20:H20" si="10">D19/D11</f>
        <v>0.22146718146718147</v>
      </c>
      <c r="E20" s="77">
        <f t="shared" si="10"/>
        <v>0.22983212004159859</v>
      </c>
      <c r="F20" s="77">
        <f t="shared" si="10"/>
        <v>0.20311379698863055</v>
      </c>
      <c r="G20" s="77">
        <f t="shared" si="10"/>
        <v>0.17311670926128758</v>
      </c>
      <c r="H20" s="77">
        <f t="shared" si="10"/>
        <v>0.21206728528452184</v>
      </c>
      <c r="I20" s="78">
        <v>0.21</v>
      </c>
      <c r="J20" s="79">
        <v>0.20200000000000001</v>
      </c>
      <c r="K20" s="79">
        <v>0.2</v>
      </c>
      <c r="L20" s="79">
        <v>0.16500000000000001</v>
      </c>
      <c r="M20" s="79">
        <v>0.16</v>
      </c>
      <c r="N20" s="79">
        <v>0.16</v>
      </c>
      <c r="O20" s="79">
        <v>0.16</v>
      </c>
      <c r="P20" s="79">
        <v>0.16</v>
      </c>
      <c r="Q20" s="79">
        <v>0.16</v>
      </c>
      <c r="R20" s="79">
        <v>0.16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65"/>
      <c r="J21" s="75"/>
      <c r="K21" s="75"/>
      <c r="L21" s="75"/>
      <c r="M21" s="75"/>
      <c r="N21" s="75"/>
      <c r="O21" s="75"/>
      <c r="P21" s="75"/>
      <c r="Q21" s="75"/>
      <c r="R21" s="75"/>
    </row>
    <row r="22" spans="1:18" x14ac:dyDescent="0.25">
      <c r="A22" s="1"/>
      <c r="B22" s="1" t="s">
        <v>57</v>
      </c>
      <c r="C22" s="12">
        <v>516</v>
      </c>
      <c r="D22" s="12">
        <v>562</v>
      </c>
      <c r="E22" s="12">
        <v>750</v>
      </c>
      <c r="F22" s="12">
        <v>995</v>
      </c>
      <c r="G22" s="12">
        <v>1448</v>
      </c>
      <c r="H22" s="12">
        <v>2336</v>
      </c>
      <c r="I22" s="21">
        <f>I23*I11</f>
        <v>2067.2999999999997</v>
      </c>
      <c r="J22" s="73">
        <f t="shared" ref="J22:R22" si="11">J23*J11</f>
        <v>2224.6600000000003</v>
      </c>
      <c r="K22" s="73">
        <f t="shared" si="11"/>
        <v>2530.52</v>
      </c>
      <c r="L22" s="73">
        <f t="shared" si="11"/>
        <v>2618.7000000000003</v>
      </c>
      <c r="M22" s="73">
        <f t="shared" si="11"/>
        <v>2891.0000000000005</v>
      </c>
      <c r="N22" s="73">
        <f t="shared" si="11"/>
        <v>3182.9415415664266</v>
      </c>
      <c r="O22" s="73">
        <f t="shared" si="11"/>
        <v>3494.8153597506926</v>
      </c>
      <c r="P22" s="73">
        <f t="shared" si="11"/>
        <v>3826.763030586183</v>
      </c>
      <c r="Q22" s="73">
        <f t="shared" si="11"/>
        <v>4178.7597621897512</v>
      </c>
      <c r="R22" s="73">
        <f t="shared" si="11"/>
        <v>4550.5978919509207</v>
      </c>
    </row>
    <row r="23" spans="1:18" x14ac:dyDescent="0.25">
      <c r="A23" s="82"/>
      <c r="B23" s="83" t="s">
        <v>19</v>
      </c>
      <c r="C23" s="77">
        <f>C22/C11</f>
        <v>9.8229583095374065E-2</v>
      </c>
      <c r="D23" s="77">
        <f t="shared" ref="D23:H23" si="12">D22/D11</f>
        <v>8.6795366795366799E-2</v>
      </c>
      <c r="E23" s="77">
        <f t="shared" si="12"/>
        <v>0.1114247511513891</v>
      </c>
      <c r="F23" s="77">
        <f t="shared" si="12"/>
        <v>0.10191539485813787</v>
      </c>
      <c r="G23" s="77">
        <f t="shared" si="12"/>
        <v>8.81100158208592E-2</v>
      </c>
      <c r="H23" s="77">
        <f t="shared" si="12"/>
        <v>9.8978856828100509E-2</v>
      </c>
      <c r="I23" s="78">
        <v>0.09</v>
      </c>
      <c r="J23" s="79">
        <v>8.2000000000000003E-2</v>
      </c>
      <c r="K23" s="79">
        <v>8.2000000000000003E-2</v>
      </c>
      <c r="L23" s="79">
        <v>7.0000000000000007E-2</v>
      </c>
      <c r="M23" s="79">
        <v>7.0000000000000007E-2</v>
      </c>
      <c r="N23" s="79">
        <v>7.0000000000000007E-2</v>
      </c>
      <c r="O23" s="79">
        <v>7.0000000000000007E-2</v>
      </c>
      <c r="P23" s="79">
        <v>7.0000000000000007E-2</v>
      </c>
      <c r="Q23" s="79">
        <v>7.0000000000000007E-2</v>
      </c>
      <c r="R23" s="79">
        <v>7.0000000000000007E-2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21"/>
      <c r="J24" s="73"/>
      <c r="K24" s="73"/>
      <c r="L24" s="73"/>
      <c r="M24" s="73"/>
      <c r="N24" s="73"/>
      <c r="O24" s="73"/>
      <c r="P24" s="73"/>
      <c r="Q24" s="73"/>
      <c r="R24" s="73"/>
    </row>
    <row r="25" spans="1:18" x14ac:dyDescent="0.25">
      <c r="A25" s="1"/>
      <c r="B25" s="1" t="s">
        <v>13</v>
      </c>
      <c r="C25" s="12">
        <v>-52</v>
      </c>
      <c r="D25" s="12">
        <v>0</v>
      </c>
      <c r="E25" s="12">
        <v>-60</v>
      </c>
      <c r="F25" s="12">
        <v>0</v>
      </c>
      <c r="G25" s="12">
        <v>-12</v>
      </c>
      <c r="H25" s="12">
        <v>1998</v>
      </c>
      <c r="I25" s="65">
        <f t="shared" ref="I25:R25" si="13">I26*I11</f>
        <v>229.70000000000002</v>
      </c>
      <c r="J25" s="75">
        <f t="shared" si="13"/>
        <v>298.43</v>
      </c>
      <c r="K25" s="75">
        <f t="shared" si="13"/>
        <v>401.18</v>
      </c>
      <c r="L25" s="75">
        <f t="shared" si="13"/>
        <v>-374.1</v>
      </c>
      <c r="M25" s="75">
        <f t="shared" si="13"/>
        <v>-413</v>
      </c>
      <c r="N25" s="75">
        <f t="shared" si="13"/>
        <v>-454.70593450948945</v>
      </c>
      <c r="O25" s="75">
        <f t="shared" si="13"/>
        <v>-499.25933710724172</v>
      </c>
      <c r="P25" s="75">
        <f t="shared" si="13"/>
        <v>-546.68043294088329</v>
      </c>
      <c r="Q25" s="75">
        <f t="shared" si="13"/>
        <v>-596.96568031282163</v>
      </c>
      <c r="R25" s="75">
        <f t="shared" si="13"/>
        <v>-650.08541313584578</v>
      </c>
    </row>
    <row r="26" spans="1:18" x14ac:dyDescent="0.25">
      <c r="A26" s="82"/>
      <c r="B26" s="83" t="s">
        <v>19</v>
      </c>
      <c r="C26" s="77">
        <f t="shared" ref="C26:H26" si="14">C25/C11</f>
        <v>-9.8991052731772326E-3</v>
      </c>
      <c r="D26" s="77">
        <f t="shared" si="14"/>
        <v>0</v>
      </c>
      <c r="E26" s="77">
        <f t="shared" si="14"/>
        <v>-8.9139800921111279E-3</v>
      </c>
      <c r="F26" s="77">
        <f t="shared" si="14"/>
        <v>0</v>
      </c>
      <c r="G26" s="77">
        <f t="shared" si="14"/>
        <v>-7.3019350127783865E-4</v>
      </c>
      <c r="H26" s="77">
        <f t="shared" si="14"/>
        <v>8.4657429769925005E-2</v>
      </c>
      <c r="I26" s="78">
        <v>0.01</v>
      </c>
      <c r="J26" s="79">
        <v>1.0999999999999999E-2</v>
      </c>
      <c r="K26" s="79">
        <v>1.2999999999999999E-2</v>
      </c>
      <c r="L26" s="79">
        <v>-0.01</v>
      </c>
      <c r="M26" s="79">
        <v>-0.01</v>
      </c>
      <c r="N26" s="79">
        <v>-0.01</v>
      </c>
      <c r="O26" s="79">
        <v>-0.01</v>
      </c>
      <c r="P26" s="79">
        <v>-0.01</v>
      </c>
      <c r="Q26" s="79">
        <v>-0.01</v>
      </c>
      <c r="R26" s="79">
        <v>-0.01</v>
      </c>
    </row>
    <row r="27" spans="1:18" x14ac:dyDescent="0.25">
      <c r="A27" s="1"/>
      <c r="B27" s="14"/>
      <c r="C27" s="12"/>
      <c r="D27" s="12"/>
      <c r="E27" s="12"/>
      <c r="F27" s="12"/>
      <c r="G27" s="12"/>
      <c r="H27" s="12"/>
      <c r="I27" s="65"/>
      <c r="J27" s="75"/>
      <c r="K27" s="75"/>
      <c r="L27" s="75"/>
      <c r="M27" s="75"/>
      <c r="N27" s="75"/>
      <c r="O27" s="75"/>
      <c r="P27" s="75"/>
      <c r="Q27" s="75"/>
      <c r="R27" s="75"/>
    </row>
    <row r="28" spans="1:18" x14ac:dyDescent="0.25">
      <c r="A28" s="1"/>
      <c r="B28" s="1" t="s">
        <v>54</v>
      </c>
      <c r="C28" s="12">
        <v>-126</v>
      </c>
      <c r="D28" s="12">
        <v>-121</v>
      </c>
      <c r="E28" s="12">
        <v>-94</v>
      </c>
      <c r="F28" s="12">
        <v>-47</v>
      </c>
      <c r="G28" s="12">
        <v>-34</v>
      </c>
      <c r="H28" s="12">
        <v>-88</v>
      </c>
      <c r="I28" s="65">
        <f t="shared" ref="I28:R28" si="15">I29*I11</f>
        <v>-114.85000000000001</v>
      </c>
      <c r="J28" s="75">
        <f t="shared" si="15"/>
        <v>-135.65</v>
      </c>
      <c r="K28" s="75">
        <f t="shared" si="15"/>
        <v>-154.30000000000001</v>
      </c>
      <c r="L28" s="75">
        <f t="shared" si="15"/>
        <v>-187.05</v>
      </c>
      <c r="M28" s="75">
        <f t="shared" si="15"/>
        <v>-289.10000000000002</v>
      </c>
      <c r="N28" s="75">
        <f t="shared" si="15"/>
        <v>-318.29415415664261</v>
      </c>
      <c r="O28" s="75">
        <f t="shared" si="15"/>
        <v>-349.48153597506922</v>
      </c>
      <c r="P28" s="75">
        <f t="shared" si="15"/>
        <v>-382.67630305861826</v>
      </c>
      <c r="Q28" s="75">
        <f t="shared" si="15"/>
        <v>-417.8759762189751</v>
      </c>
      <c r="R28" s="75">
        <f t="shared" si="15"/>
        <v>-455.05978919509209</v>
      </c>
    </row>
    <row r="29" spans="1:18" x14ac:dyDescent="0.25">
      <c r="A29" s="82"/>
      <c r="B29" s="83" t="s">
        <v>19</v>
      </c>
      <c r="C29" s="77">
        <f t="shared" ref="C29:H29" si="16">C28/C11</f>
        <v>-2.3986293546544833E-2</v>
      </c>
      <c r="D29" s="77">
        <f t="shared" si="16"/>
        <v>-1.8687258687258686E-2</v>
      </c>
      <c r="E29" s="77">
        <f t="shared" si="16"/>
        <v>-1.3965235477640767E-2</v>
      </c>
      <c r="F29" s="77">
        <f t="shared" si="16"/>
        <v>-4.8140940284748541E-3</v>
      </c>
      <c r="G29" s="77">
        <f t="shared" si="16"/>
        <v>-2.068881586953876E-3</v>
      </c>
      <c r="H29" s="77">
        <f t="shared" si="16"/>
        <v>-3.7286555654421423E-3</v>
      </c>
      <c r="I29" s="78">
        <v>-5.0000000000000001E-3</v>
      </c>
      <c r="J29" s="79">
        <v>-5.0000000000000001E-3</v>
      </c>
      <c r="K29" s="79">
        <v>-5.0000000000000001E-3</v>
      </c>
      <c r="L29" s="79">
        <v>-5.0000000000000001E-3</v>
      </c>
      <c r="M29" s="79">
        <v>-7.0000000000000001E-3</v>
      </c>
      <c r="N29" s="79">
        <v>-7.0000000000000001E-3</v>
      </c>
      <c r="O29" s="79">
        <v>-7.0000000000000001E-3</v>
      </c>
      <c r="P29" s="79">
        <v>-7.0000000000000001E-3</v>
      </c>
      <c r="Q29" s="79">
        <v>-7.0000000000000001E-3</v>
      </c>
      <c r="R29" s="79">
        <v>-7.0000000000000001E-3</v>
      </c>
    </row>
    <row r="30" spans="1:18" x14ac:dyDescent="0.25">
      <c r="A30" s="1"/>
      <c r="B30" s="1"/>
      <c r="C30" s="12"/>
      <c r="D30" s="12"/>
      <c r="E30" s="12"/>
      <c r="F30" s="12"/>
      <c r="G30" s="12"/>
      <c r="H30" s="12"/>
      <c r="I30" s="65"/>
      <c r="J30" s="75"/>
      <c r="K30" s="75"/>
      <c r="L30" s="75"/>
      <c r="M30" s="75"/>
      <c r="N30" s="75"/>
      <c r="O30" s="75"/>
      <c r="P30" s="75"/>
      <c r="Q30" s="75"/>
      <c r="R30" s="75"/>
    </row>
    <row r="31" spans="1:18" x14ac:dyDescent="0.25">
      <c r="A31" s="1"/>
      <c r="B31" s="1" t="s">
        <v>16</v>
      </c>
      <c r="C31" s="12">
        <v>-9</v>
      </c>
      <c r="D31" s="12">
        <v>0</v>
      </c>
      <c r="E31" s="12">
        <v>-165</v>
      </c>
      <c r="F31" s="12">
        <v>-47</v>
      </c>
      <c r="G31" s="12">
        <v>55</v>
      </c>
      <c r="H31" s="12">
        <v>8</v>
      </c>
      <c r="I31" s="65">
        <f t="shared" ref="I31:R31" si="17">I32*I11</f>
        <v>57.425000000000004</v>
      </c>
      <c r="J31" s="75">
        <f t="shared" si="17"/>
        <v>271.3</v>
      </c>
      <c r="K31" s="75">
        <f t="shared" si="17"/>
        <v>308.60000000000002</v>
      </c>
      <c r="L31" s="75">
        <f t="shared" si="17"/>
        <v>374.1</v>
      </c>
      <c r="M31" s="75">
        <f t="shared" si="17"/>
        <v>826</v>
      </c>
      <c r="N31" s="75">
        <f t="shared" si="17"/>
        <v>909.4118690189789</v>
      </c>
      <c r="O31" s="75">
        <f t="shared" si="17"/>
        <v>998.51867421448344</v>
      </c>
      <c r="P31" s="75">
        <f t="shared" si="17"/>
        <v>1093.3608658817666</v>
      </c>
      <c r="Q31" s="75">
        <f t="shared" si="17"/>
        <v>1193.9313606256433</v>
      </c>
      <c r="R31" s="75">
        <f t="shared" si="17"/>
        <v>1300.1708262716916</v>
      </c>
    </row>
    <row r="32" spans="1:18" x14ac:dyDescent="0.25">
      <c r="A32" s="82"/>
      <c r="B32" s="83" t="s">
        <v>19</v>
      </c>
      <c r="C32" s="77">
        <f t="shared" ref="C32:H32" si="18">C31/C11</f>
        <v>-1.7133066818960593E-3</v>
      </c>
      <c r="D32" s="77">
        <f t="shared" si="18"/>
        <v>0</v>
      </c>
      <c r="E32" s="77">
        <f t="shared" si="18"/>
        <v>-2.45134452533056E-2</v>
      </c>
      <c r="F32" s="77">
        <f t="shared" si="18"/>
        <v>-4.8140940284748541E-3</v>
      </c>
      <c r="G32" s="77">
        <f t="shared" si="18"/>
        <v>3.3467202141900937E-3</v>
      </c>
      <c r="H32" s="77">
        <f t="shared" si="18"/>
        <v>3.3896868776746747E-4</v>
      </c>
      <c r="I32" s="78">
        <v>2.5000000000000001E-3</v>
      </c>
      <c r="J32" s="79">
        <v>0.01</v>
      </c>
      <c r="K32" s="79">
        <v>0.01</v>
      </c>
      <c r="L32" s="79">
        <v>0.01</v>
      </c>
      <c r="M32" s="79">
        <v>0.02</v>
      </c>
      <c r="N32" s="79">
        <v>0.02</v>
      </c>
      <c r="O32" s="79">
        <v>0.02</v>
      </c>
      <c r="P32" s="79">
        <v>0.02</v>
      </c>
      <c r="Q32" s="79">
        <v>0.02</v>
      </c>
      <c r="R32" s="79">
        <v>0.02</v>
      </c>
    </row>
    <row r="33" spans="1:86" x14ac:dyDescent="0.25">
      <c r="A33" s="1"/>
      <c r="B33" s="1"/>
      <c r="C33" s="1"/>
      <c r="D33" s="1"/>
      <c r="E33" s="1"/>
      <c r="F33" s="12"/>
      <c r="G33" s="12"/>
      <c r="H33" s="12"/>
      <c r="I33" s="13"/>
      <c r="J33" s="72"/>
      <c r="K33" s="72"/>
      <c r="L33" s="72"/>
      <c r="M33" s="72"/>
      <c r="N33" s="72"/>
      <c r="O33" s="72"/>
      <c r="P33" s="72"/>
      <c r="Q33" s="72"/>
      <c r="R33" s="74"/>
    </row>
    <row r="34" spans="1:86" x14ac:dyDescent="0.25">
      <c r="A34" s="1"/>
      <c r="B34" s="1" t="s">
        <v>14</v>
      </c>
      <c r="C34" s="12">
        <f t="shared" ref="C34:G34" si="19">C19+C22+C25</f>
        <v>1660</v>
      </c>
      <c r="D34" s="12">
        <f t="shared" si="19"/>
        <v>1996</v>
      </c>
      <c r="E34" s="12">
        <f t="shared" si="19"/>
        <v>2237</v>
      </c>
      <c r="F34" s="12">
        <f t="shared" si="19"/>
        <v>2978</v>
      </c>
      <c r="G34" s="12">
        <f t="shared" si="19"/>
        <v>4281</v>
      </c>
      <c r="H34" s="12">
        <f>H19+H22+H25</f>
        <v>9339</v>
      </c>
      <c r="I34" s="65">
        <f t="shared" ref="I34:R34" si="20">I19+I22+I25</f>
        <v>7120.7</v>
      </c>
      <c r="J34" s="75">
        <f t="shared" si="20"/>
        <v>8003.35</v>
      </c>
      <c r="K34" s="75">
        <f t="shared" si="20"/>
        <v>9103.7000000000007</v>
      </c>
      <c r="L34" s="75">
        <f t="shared" si="20"/>
        <v>8417.25</v>
      </c>
      <c r="M34" s="75">
        <f t="shared" si="20"/>
        <v>9086</v>
      </c>
      <c r="N34" s="75">
        <f t="shared" si="20"/>
        <v>10003.530559208768</v>
      </c>
      <c r="O34" s="75">
        <f t="shared" si="20"/>
        <v>10983.705416359318</v>
      </c>
      <c r="P34" s="75">
        <f t="shared" si="20"/>
        <v>12026.969524699431</v>
      </c>
      <c r="Q34" s="75">
        <f t="shared" si="20"/>
        <v>13133.244966882075</v>
      </c>
      <c r="R34" s="75">
        <f t="shared" si="20"/>
        <v>14301.879088988608</v>
      </c>
    </row>
    <row r="35" spans="1:86" x14ac:dyDescent="0.25">
      <c r="A35" s="82"/>
      <c r="B35" s="83" t="s">
        <v>19</v>
      </c>
      <c r="C35" s="77">
        <f t="shared" ref="C35:R35" si="21">C34/C11</f>
        <v>0.31600989910527316</v>
      </c>
      <c r="D35" s="77">
        <f t="shared" si="21"/>
        <v>0.30826254826254829</v>
      </c>
      <c r="E35" s="77">
        <f t="shared" si="21"/>
        <v>0.33234289110087656</v>
      </c>
      <c r="F35" s="77">
        <f t="shared" si="21"/>
        <v>0.30502919184676841</v>
      </c>
      <c r="G35" s="77">
        <f t="shared" si="21"/>
        <v>0.26049653158086894</v>
      </c>
      <c r="H35" s="77">
        <f t="shared" si="21"/>
        <v>0.39570357188254734</v>
      </c>
      <c r="I35" s="78">
        <f t="shared" si="21"/>
        <v>0.31</v>
      </c>
      <c r="J35" s="79">
        <f t="shared" si="21"/>
        <v>0.29500000000000004</v>
      </c>
      <c r="K35" s="79">
        <f t="shared" si="21"/>
        <v>0.29500000000000004</v>
      </c>
      <c r="L35" s="79">
        <f t="shared" si="21"/>
        <v>0.22500000000000001</v>
      </c>
      <c r="M35" s="79">
        <f t="shared" si="21"/>
        <v>0.22</v>
      </c>
      <c r="N35" s="79">
        <f t="shared" si="21"/>
        <v>0.22</v>
      </c>
      <c r="O35" s="79">
        <f t="shared" si="21"/>
        <v>0.22</v>
      </c>
      <c r="P35" s="79">
        <f t="shared" si="21"/>
        <v>0.21999999999999997</v>
      </c>
      <c r="Q35" s="79">
        <f t="shared" si="21"/>
        <v>0.22000000000000003</v>
      </c>
      <c r="R35" s="79">
        <f t="shared" si="21"/>
        <v>0.22</v>
      </c>
    </row>
    <row r="36" spans="1:86" x14ac:dyDescent="0.25">
      <c r="A36" s="1"/>
      <c r="B36" s="1"/>
      <c r="C36" s="15"/>
      <c r="D36" s="15"/>
      <c r="E36" s="15"/>
      <c r="F36" s="15"/>
      <c r="G36" s="15"/>
      <c r="H36" s="15"/>
      <c r="I36" s="20"/>
      <c r="J36" s="49"/>
      <c r="K36" s="49"/>
      <c r="L36" s="49"/>
      <c r="M36" s="49"/>
      <c r="N36" s="49"/>
      <c r="O36" s="49"/>
      <c r="P36" s="49"/>
      <c r="Q36" s="49"/>
      <c r="R36" s="49"/>
    </row>
    <row r="37" spans="1:86" x14ac:dyDescent="0.25">
      <c r="A37" s="1"/>
      <c r="B37" s="1" t="s">
        <v>15</v>
      </c>
      <c r="C37" s="12">
        <f>C16-C19-C22-C25</f>
        <v>127</v>
      </c>
      <c r="D37" s="12">
        <f t="shared" ref="D37:G37" si="22">D16-D19-D22-D25</f>
        <v>451</v>
      </c>
      <c r="E37" s="12">
        <f t="shared" si="22"/>
        <v>631</v>
      </c>
      <c r="F37" s="12">
        <f t="shared" si="22"/>
        <v>1369</v>
      </c>
      <c r="G37" s="12">
        <f t="shared" si="22"/>
        <v>3648</v>
      </c>
      <c r="H37" s="12">
        <f>H16-H19-H22-H25</f>
        <v>1264</v>
      </c>
      <c r="I37" s="65">
        <f t="shared" ref="I37:R37" si="23">I16-I19-I22-I25</f>
        <v>4577.9209999999994</v>
      </c>
      <c r="J37" s="75">
        <f t="shared" si="23"/>
        <v>6579.0249999999996</v>
      </c>
      <c r="K37" s="75">
        <f t="shared" si="23"/>
        <v>7937.1919999999991</v>
      </c>
      <c r="L37" s="75">
        <f t="shared" si="23"/>
        <v>12532.35</v>
      </c>
      <c r="M37" s="75">
        <f t="shared" si="23"/>
        <v>13918.100000000002</v>
      </c>
      <c r="N37" s="75">
        <f t="shared" si="23"/>
        <v>15323.589992969795</v>
      </c>
      <c r="O37" s="75">
        <f t="shared" si="23"/>
        <v>16825.039660514052</v>
      </c>
      <c r="P37" s="75">
        <f t="shared" si="23"/>
        <v>18423.130590107769</v>
      </c>
      <c r="Q37" s="75">
        <f t="shared" si="23"/>
        <v>20117.743426542089</v>
      </c>
      <c r="R37" s="75">
        <f t="shared" si="23"/>
        <v>21907.878422678004</v>
      </c>
    </row>
    <row r="38" spans="1:86" x14ac:dyDescent="0.25">
      <c r="A38" s="1"/>
      <c r="B38" s="1"/>
      <c r="C38" s="22"/>
      <c r="D38" s="22"/>
      <c r="E38" s="22"/>
      <c r="F38" s="22"/>
      <c r="G38" s="22"/>
      <c r="H38" s="22"/>
      <c r="I38" s="13"/>
      <c r="J38" s="72"/>
      <c r="K38" s="72"/>
      <c r="L38" s="72"/>
      <c r="M38" s="72"/>
      <c r="N38" s="72"/>
      <c r="O38" s="72"/>
      <c r="P38" s="72"/>
      <c r="Q38" s="72"/>
      <c r="R38" s="72"/>
    </row>
    <row r="39" spans="1:86" x14ac:dyDescent="0.25">
      <c r="A39" s="1"/>
      <c r="B39" s="1" t="s">
        <v>17</v>
      </c>
      <c r="C39" s="12">
        <f t="shared" ref="C39:G39" si="24">C37+C28+C31</f>
        <v>-8</v>
      </c>
      <c r="D39" s="12">
        <f t="shared" si="24"/>
        <v>330</v>
      </c>
      <c r="E39" s="12">
        <f t="shared" si="24"/>
        <v>372</v>
      </c>
      <c r="F39" s="12">
        <f t="shared" si="24"/>
        <v>1275</v>
      </c>
      <c r="G39" s="12">
        <f t="shared" si="24"/>
        <v>3669</v>
      </c>
      <c r="H39" s="12">
        <f>H37+H28+H31</f>
        <v>1184</v>
      </c>
      <c r="I39" s="65">
        <f t="shared" ref="I39:R39" si="25">I37+I28+I31</f>
        <v>4520.4959999999992</v>
      </c>
      <c r="J39" s="75">
        <f t="shared" si="25"/>
        <v>6714.6750000000002</v>
      </c>
      <c r="K39" s="75">
        <f t="shared" si="25"/>
        <v>8091.4919999999993</v>
      </c>
      <c r="L39" s="75">
        <f t="shared" si="25"/>
        <v>12719.400000000001</v>
      </c>
      <c r="M39" s="75">
        <f t="shared" si="25"/>
        <v>14455.000000000002</v>
      </c>
      <c r="N39" s="75">
        <f t="shared" si="25"/>
        <v>15914.707707832131</v>
      </c>
      <c r="O39" s="75">
        <f t="shared" si="25"/>
        <v>17474.076798753467</v>
      </c>
      <c r="P39" s="75">
        <f t="shared" si="25"/>
        <v>19133.815152930918</v>
      </c>
      <c r="Q39" s="75">
        <f t="shared" si="25"/>
        <v>20893.798810948756</v>
      </c>
      <c r="R39" s="75">
        <f t="shared" si="25"/>
        <v>22752.989459754604</v>
      </c>
    </row>
    <row r="40" spans="1:86" x14ac:dyDescent="0.25">
      <c r="A40" s="1"/>
      <c r="B40" s="1"/>
      <c r="C40" s="22"/>
      <c r="D40" s="22"/>
      <c r="E40" s="22"/>
      <c r="F40" s="22"/>
      <c r="G40" s="22"/>
      <c r="H40" s="22"/>
      <c r="I40" s="13"/>
      <c r="J40" s="72"/>
      <c r="K40" s="72"/>
      <c r="L40" s="72"/>
      <c r="M40" s="72"/>
      <c r="N40" s="72"/>
      <c r="O40" s="72"/>
      <c r="P40" s="72"/>
      <c r="Q40" s="72"/>
      <c r="R40" s="72"/>
    </row>
    <row r="41" spans="1:86" x14ac:dyDescent="0.25">
      <c r="A41" s="1"/>
      <c r="B41" s="1" t="s">
        <v>18</v>
      </c>
      <c r="C41" s="12">
        <f t="shared" ref="C41:R41" si="26">C37</f>
        <v>127</v>
      </c>
      <c r="D41" s="12">
        <f t="shared" si="26"/>
        <v>451</v>
      </c>
      <c r="E41" s="12">
        <f t="shared" si="26"/>
        <v>631</v>
      </c>
      <c r="F41" s="12">
        <f>F37</f>
        <v>1369</v>
      </c>
      <c r="G41" s="12">
        <f t="shared" si="26"/>
        <v>3648</v>
      </c>
      <c r="H41" s="12">
        <f t="shared" si="26"/>
        <v>1264</v>
      </c>
      <c r="I41" s="65">
        <f t="shared" si="26"/>
        <v>4577.9209999999994</v>
      </c>
      <c r="J41" s="75">
        <f t="shared" si="26"/>
        <v>6579.0249999999996</v>
      </c>
      <c r="K41" s="75">
        <f t="shared" si="26"/>
        <v>7937.1919999999991</v>
      </c>
      <c r="L41" s="75">
        <f t="shared" si="26"/>
        <v>12532.35</v>
      </c>
      <c r="M41" s="75">
        <f t="shared" si="26"/>
        <v>13918.100000000002</v>
      </c>
      <c r="N41" s="75">
        <f t="shared" si="26"/>
        <v>15323.589992969795</v>
      </c>
      <c r="O41" s="75">
        <f t="shared" si="26"/>
        <v>16825.039660514052</v>
      </c>
      <c r="P41" s="75">
        <f t="shared" si="26"/>
        <v>18423.130590107769</v>
      </c>
      <c r="Q41" s="75">
        <f t="shared" si="26"/>
        <v>20117.743426542089</v>
      </c>
      <c r="R41" s="75">
        <f t="shared" si="26"/>
        <v>21907.878422678004</v>
      </c>
    </row>
    <row r="42" spans="1:86" x14ac:dyDescent="0.25">
      <c r="A42" s="82"/>
      <c r="B42" s="83" t="s">
        <v>19</v>
      </c>
      <c r="C42" s="77">
        <f t="shared" ref="C42:R42" si="27">C41/C11</f>
        <v>2.4176660955644393E-2</v>
      </c>
      <c r="D42" s="77">
        <f t="shared" si="27"/>
        <v>6.9652509652509659E-2</v>
      </c>
      <c r="E42" s="77">
        <f t="shared" si="27"/>
        <v>9.3745357302035356E-2</v>
      </c>
      <c r="F42" s="77">
        <f t="shared" si="27"/>
        <v>0.14022329202089523</v>
      </c>
      <c r="G42" s="77">
        <f t="shared" si="27"/>
        <v>0.22197882438846295</v>
      </c>
      <c r="H42" s="77">
        <f t="shared" si="27"/>
        <v>5.3557052667259859E-2</v>
      </c>
      <c r="I42" s="78">
        <f t="shared" si="27"/>
        <v>0.19929999999999998</v>
      </c>
      <c r="J42" s="79">
        <f t="shared" si="27"/>
        <v>0.24249999999999999</v>
      </c>
      <c r="K42" s="79">
        <f t="shared" si="27"/>
        <v>0.25719999999999998</v>
      </c>
      <c r="L42" s="79">
        <f t="shared" si="27"/>
        <v>0.33500000000000002</v>
      </c>
      <c r="M42" s="79">
        <f t="shared" si="27"/>
        <v>0.33700000000000008</v>
      </c>
      <c r="N42" s="79">
        <f t="shared" si="27"/>
        <v>0.33700000000000002</v>
      </c>
      <c r="O42" s="79">
        <f t="shared" si="27"/>
        <v>0.33700000000000013</v>
      </c>
      <c r="P42" s="79">
        <f t="shared" si="27"/>
        <v>0.33700000000000008</v>
      </c>
      <c r="Q42" s="79">
        <f t="shared" si="27"/>
        <v>0.33700000000000002</v>
      </c>
      <c r="R42" s="79">
        <f t="shared" si="27"/>
        <v>0.33700000000000002</v>
      </c>
    </row>
    <row r="43" spans="1:86" x14ac:dyDescent="0.25">
      <c r="A43" s="1"/>
      <c r="B43" s="14"/>
      <c r="C43" s="1"/>
      <c r="D43" s="1"/>
      <c r="F43" s="1"/>
      <c r="G43" s="1"/>
      <c r="H43" s="1"/>
      <c r="I43" s="13"/>
      <c r="J43" s="72"/>
      <c r="K43" s="72"/>
      <c r="L43" s="72"/>
      <c r="M43" s="72"/>
      <c r="N43" s="72"/>
      <c r="O43" s="72"/>
      <c r="P43" s="72"/>
      <c r="Q43" s="72"/>
      <c r="R43" s="72"/>
    </row>
    <row r="44" spans="1:86" x14ac:dyDescent="0.25">
      <c r="A44" s="1"/>
      <c r="B44" s="1" t="s">
        <v>20</v>
      </c>
      <c r="C44" s="12">
        <v>18</v>
      </c>
      <c r="D44" s="12">
        <v>-9</v>
      </c>
      <c r="E44" s="23">
        <v>31</v>
      </c>
      <c r="F44" s="12">
        <v>-1210</v>
      </c>
      <c r="G44" s="12">
        <v>513</v>
      </c>
      <c r="H44" s="19">
        <v>-122</v>
      </c>
      <c r="I44" s="21">
        <f>I45*I41</f>
        <v>-137.33762999999999</v>
      </c>
      <c r="J44" s="73">
        <f t="shared" ref="J44:R44" si="28">J45*J41</f>
        <v>-197.37074999999999</v>
      </c>
      <c r="K44" s="73">
        <f t="shared" si="28"/>
        <v>-238.11575999999997</v>
      </c>
      <c r="L44" s="73">
        <f t="shared" si="28"/>
        <v>-375.97050000000002</v>
      </c>
      <c r="M44" s="73">
        <f t="shared" si="28"/>
        <v>974.26700000000028</v>
      </c>
      <c r="N44" s="73">
        <f t="shared" si="28"/>
        <v>1072.6512995078858</v>
      </c>
      <c r="O44" s="73">
        <f t="shared" si="28"/>
        <v>1177.7527762359837</v>
      </c>
      <c r="P44" s="73">
        <f t="shared" si="28"/>
        <v>1289.6191413075439</v>
      </c>
      <c r="Q44" s="73">
        <f t="shared" si="28"/>
        <v>1408.2420398579463</v>
      </c>
      <c r="R44" s="73">
        <f t="shared" si="28"/>
        <v>1533.5514895874605</v>
      </c>
    </row>
    <row r="45" spans="1:86" x14ac:dyDescent="0.25">
      <c r="A45" s="82"/>
      <c r="B45" s="83" t="s">
        <v>21</v>
      </c>
      <c r="C45" s="84">
        <f>C44/C41</f>
        <v>0.14173228346456693</v>
      </c>
      <c r="D45" s="84">
        <f t="shared" ref="D45:G45" si="29">D44/D41</f>
        <v>-1.9955654101995565E-2</v>
      </c>
      <c r="E45" s="84">
        <f t="shared" si="29"/>
        <v>4.9128367670364499E-2</v>
      </c>
      <c r="F45" s="84">
        <f>F44/F41</f>
        <v>-0.8838568298027758</v>
      </c>
      <c r="G45" s="84">
        <f t="shared" si="29"/>
        <v>0.140625</v>
      </c>
      <c r="H45" s="84">
        <f>H44/H41</f>
        <v>-9.6518987341772153E-2</v>
      </c>
      <c r="I45" s="80">
        <v>-0.03</v>
      </c>
      <c r="J45" s="81">
        <v>-0.03</v>
      </c>
      <c r="K45" s="81">
        <v>-0.03</v>
      </c>
      <c r="L45" s="81">
        <v>-0.03</v>
      </c>
      <c r="M45" s="81">
        <v>7.0000000000000007E-2</v>
      </c>
      <c r="N45" s="81">
        <v>7.0000000000000007E-2</v>
      </c>
      <c r="O45" s="81">
        <v>7.0000000000000007E-2</v>
      </c>
      <c r="P45" s="81">
        <v>7.0000000000000007E-2</v>
      </c>
      <c r="Q45" s="81">
        <v>7.0000000000000007E-2</v>
      </c>
      <c r="R45" s="81">
        <v>7.0000000000000007E-2</v>
      </c>
    </row>
    <row r="46" spans="1:86" x14ac:dyDescent="0.25">
      <c r="A46" s="1"/>
      <c r="B46" s="1"/>
      <c r="C46" s="1"/>
      <c r="D46" s="1"/>
      <c r="E46" s="1"/>
      <c r="F46" s="1"/>
      <c r="G46" s="1"/>
      <c r="H46" s="1"/>
      <c r="I46" s="13"/>
      <c r="J46" s="72"/>
      <c r="K46" s="72"/>
      <c r="L46" s="72"/>
      <c r="M46" s="72"/>
      <c r="N46" s="72"/>
      <c r="O46" s="72"/>
      <c r="P46" s="72"/>
      <c r="Q46" s="72"/>
      <c r="R46" s="72"/>
    </row>
    <row r="47" spans="1:86" x14ac:dyDescent="0.25">
      <c r="A47" s="1"/>
      <c r="B47" s="10" t="s">
        <v>22</v>
      </c>
      <c r="C47" s="10">
        <v>2017</v>
      </c>
      <c r="D47" s="10">
        <f>C47+1</f>
        <v>2018</v>
      </c>
      <c r="E47" s="10">
        <f>D47+1</f>
        <v>2019</v>
      </c>
      <c r="F47" s="10">
        <v>2020</v>
      </c>
      <c r="G47" s="10">
        <v>2021</v>
      </c>
      <c r="H47" s="10">
        <v>2022</v>
      </c>
      <c r="I47" s="66">
        <v>2023</v>
      </c>
      <c r="J47" s="76">
        <v>2024</v>
      </c>
      <c r="K47" s="76">
        <v>2025</v>
      </c>
      <c r="L47" s="76">
        <v>2026</v>
      </c>
      <c r="M47" s="76">
        <v>2027</v>
      </c>
      <c r="N47" s="76">
        <v>2028</v>
      </c>
      <c r="O47" s="76">
        <v>2029</v>
      </c>
      <c r="P47" s="76">
        <v>2030</v>
      </c>
      <c r="Q47" s="76">
        <v>2031</v>
      </c>
      <c r="R47" s="76">
        <v>2032</v>
      </c>
      <c r="S47" s="10">
        <v>2033</v>
      </c>
      <c r="T47" s="10">
        <v>2034</v>
      </c>
      <c r="U47" s="10">
        <v>2035</v>
      </c>
      <c r="V47" s="10">
        <v>2036</v>
      </c>
      <c r="W47" s="10">
        <v>2037</v>
      </c>
      <c r="X47" s="10">
        <v>2038</v>
      </c>
      <c r="Y47" s="10">
        <v>2039</v>
      </c>
      <c r="Z47" s="10">
        <v>2040</v>
      </c>
      <c r="AA47" s="10">
        <v>2041</v>
      </c>
      <c r="AB47" s="10">
        <v>2042</v>
      </c>
      <c r="AC47" s="10">
        <v>2043</v>
      </c>
      <c r="AD47" s="10">
        <v>2044</v>
      </c>
      <c r="AE47" s="10">
        <v>2045</v>
      </c>
      <c r="AF47" s="10">
        <v>2046</v>
      </c>
      <c r="AG47" s="10">
        <v>2047</v>
      </c>
      <c r="AH47" s="10">
        <v>2048</v>
      </c>
      <c r="AI47" s="10">
        <v>2049</v>
      </c>
      <c r="AJ47" s="10">
        <v>2050</v>
      </c>
      <c r="AK47" s="10">
        <v>2051</v>
      </c>
      <c r="AL47" s="10">
        <v>2052</v>
      </c>
      <c r="AM47" s="10">
        <v>2053</v>
      </c>
      <c r="AN47" s="10">
        <v>2054</v>
      </c>
      <c r="AO47" s="10">
        <v>2055</v>
      </c>
      <c r="AP47" s="10">
        <v>2056</v>
      </c>
      <c r="AQ47" s="10">
        <v>2057</v>
      </c>
      <c r="AR47" s="10">
        <v>2058</v>
      </c>
      <c r="AS47" s="10">
        <v>2059</v>
      </c>
      <c r="AT47" s="10">
        <v>2060</v>
      </c>
      <c r="AU47" s="10">
        <v>2061</v>
      </c>
      <c r="AV47" s="10">
        <v>2062</v>
      </c>
      <c r="AW47" s="10">
        <v>2063</v>
      </c>
      <c r="AX47" s="10">
        <v>2064</v>
      </c>
      <c r="AY47" s="10">
        <v>2065</v>
      </c>
      <c r="AZ47" s="10">
        <v>2066</v>
      </c>
      <c r="BA47" s="10">
        <v>2067</v>
      </c>
      <c r="BB47" s="10">
        <v>2068</v>
      </c>
      <c r="BC47" s="10">
        <v>2069</v>
      </c>
      <c r="BD47" s="10">
        <v>2070</v>
      </c>
      <c r="BE47" s="10">
        <v>2071</v>
      </c>
      <c r="BF47" s="10">
        <v>2072</v>
      </c>
      <c r="BG47" s="10">
        <v>2073</v>
      </c>
      <c r="BH47" s="10">
        <v>2074</v>
      </c>
      <c r="BI47" s="10">
        <v>2075</v>
      </c>
      <c r="BJ47" s="10">
        <v>2076</v>
      </c>
      <c r="BK47" s="10">
        <v>2077</v>
      </c>
      <c r="BL47" s="10">
        <v>2078</v>
      </c>
      <c r="BM47" s="10">
        <v>2079</v>
      </c>
      <c r="BN47" s="10">
        <v>2080</v>
      </c>
      <c r="BO47" s="10">
        <v>2081</v>
      </c>
      <c r="BP47" s="10">
        <v>2082</v>
      </c>
      <c r="BQ47" s="10">
        <v>2083</v>
      </c>
      <c r="BR47" s="10">
        <v>2084</v>
      </c>
      <c r="BS47" s="10">
        <v>2085</v>
      </c>
      <c r="BT47" s="10">
        <v>2086</v>
      </c>
      <c r="BU47" s="10">
        <v>2087</v>
      </c>
      <c r="BV47" s="10">
        <v>2088</v>
      </c>
      <c r="BW47" s="10">
        <v>2089</v>
      </c>
      <c r="BX47" s="10">
        <v>2090</v>
      </c>
      <c r="BY47" s="10">
        <v>2091</v>
      </c>
      <c r="BZ47" s="10">
        <v>2092</v>
      </c>
      <c r="CA47" s="10">
        <v>2093</v>
      </c>
      <c r="CB47" s="10">
        <v>2094</v>
      </c>
      <c r="CC47" s="10">
        <v>2095</v>
      </c>
      <c r="CD47" s="10">
        <v>2096</v>
      </c>
      <c r="CE47" s="10">
        <v>2097</v>
      </c>
      <c r="CF47" s="10">
        <v>2098</v>
      </c>
      <c r="CG47" s="10">
        <v>2099</v>
      </c>
      <c r="CH47" s="10">
        <v>2100</v>
      </c>
    </row>
    <row r="48" spans="1:86" x14ac:dyDescent="0.25">
      <c r="A48" s="1"/>
      <c r="B48" s="1" t="s">
        <v>23</v>
      </c>
      <c r="C48" s="12">
        <v>144</v>
      </c>
      <c r="D48" s="12">
        <v>170</v>
      </c>
      <c r="E48" s="23">
        <v>222</v>
      </c>
      <c r="F48" s="12">
        <v>312</v>
      </c>
      <c r="G48" s="12">
        <v>407</v>
      </c>
      <c r="H48" s="12">
        <v>4174</v>
      </c>
      <c r="I48" s="21">
        <f t="shared" ref="I48:R48" si="30">I49*I11</f>
        <v>689.1</v>
      </c>
      <c r="J48" s="73">
        <f t="shared" si="30"/>
        <v>813.9</v>
      </c>
      <c r="K48" s="73">
        <f t="shared" si="30"/>
        <v>925.8</v>
      </c>
      <c r="L48" s="73">
        <f t="shared" si="30"/>
        <v>1122.3</v>
      </c>
      <c r="M48" s="73">
        <f t="shared" si="30"/>
        <v>1239</v>
      </c>
      <c r="N48" s="73">
        <f t="shared" si="30"/>
        <v>1364.1178035284684</v>
      </c>
      <c r="O48" s="73">
        <f t="shared" si="30"/>
        <v>1497.7780113217252</v>
      </c>
      <c r="P48" s="73">
        <f t="shared" si="30"/>
        <v>1640.0412988226497</v>
      </c>
      <c r="Q48" s="73">
        <f t="shared" si="30"/>
        <v>1790.8970409384647</v>
      </c>
      <c r="R48" s="73">
        <f t="shared" si="30"/>
        <v>1950.2562394075374</v>
      </c>
    </row>
    <row r="49" spans="1:86" x14ac:dyDescent="0.25">
      <c r="A49" s="82"/>
      <c r="B49" s="83" t="s">
        <v>19</v>
      </c>
      <c r="C49" s="77">
        <f t="shared" ref="C49:H49" si="31">C48/C11</f>
        <v>2.7412906910336949E-2</v>
      </c>
      <c r="D49" s="77">
        <f t="shared" si="31"/>
        <v>2.6254826254826256E-2</v>
      </c>
      <c r="E49" s="77">
        <f t="shared" si="31"/>
        <v>3.2981726340811174E-2</v>
      </c>
      <c r="F49" s="77">
        <f t="shared" si="31"/>
        <v>3.1957390146471372E-2</v>
      </c>
      <c r="G49" s="77">
        <f t="shared" si="31"/>
        <v>2.4765729585006693E-2</v>
      </c>
      <c r="H49" s="77">
        <f t="shared" si="31"/>
        <v>0.17685691284267616</v>
      </c>
      <c r="I49" s="78">
        <v>0.03</v>
      </c>
      <c r="J49" s="79">
        <v>0.03</v>
      </c>
      <c r="K49" s="79">
        <v>0.03</v>
      </c>
      <c r="L49" s="79">
        <v>0.03</v>
      </c>
      <c r="M49" s="79">
        <v>0.03</v>
      </c>
      <c r="N49" s="79">
        <v>0.03</v>
      </c>
      <c r="O49" s="79">
        <v>0.03</v>
      </c>
      <c r="P49" s="79">
        <v>0.03</v>
      </c>
      <c r="Q49" s="79">
        <v>0.03</v>
      </c>
      <c r="R49" s="79">
        <v>0.03</v>
      </c>
    </row>
    <row r="50" spans="1:86" x14ac:dyDescent="0.25">
      <c r="A50" s="1"/>
      <c r="B50" s="1"/>
      <c r="C50" s="1"/>
      <c r="D50" s="1"/>
      <c r="F50" s="1"/>
      <c r="G50" s="1"/>
      <c r="H50" s="1"/>
      <c r="I50" s="13"/>
      <c r="J50" s="72"/>
      <c r="K50" s="72"/>
      <c r="L50" s="72"/>
      <c r="M50" s="72"/>
      <c r="N50" s="72"/>
      <c r="O50" s="72"/>
      <c r="P50" s="72"/>
      <c r="Q50" s="72"/>
      <c r="R50" s="72"/>
    </row>
    <row r="51" spans="1:86" x14ac:dyDescent="0.25">
      <c r="A51" s="1"/>
      <c r="B51" s="1" t="s">
        <v>24</v>
      </c>
      <c r="C51" s="12">
        <v>-113</v>
      </c>
      <c r="D51" s="12">
        <v>-163</v>
      </c>
      <c r="E51" s="23">
        <v>-217</v>
      </c>
      <c r="F51" s="12">
        <v>-294</v>
      </c>
      <c r="G51" s="12">
        <v>-301</v>
      </c>
      <c r="H51" s="12">
        <v>-450</v>
      </c>
      <c r="I51" s="21">
        <f t="shared" ref="I51:R51" si="32">I52*I11</f>
        <v>-459.40000000000003</v>
      </c>
      <c r="J51" s="73">
        <f t="shared" si="32"/>
        <v>-678.25</v>
      </c>
      <c r="K51" s="73">
        <f t="shared" si="32"/>
        <v>-925.8</v>
      </c>
      <c r="L51" s="73">
        <f t="shared" si="32"/>
        <v>-1122.3</v>
      </c>
      <c r="M51" s="73">
        <f t="shared" si="32"/>
        <v>-1239</v>
      </c>
      <c r="N51" s="73">
        <f t="shared" si="32"/>
        <v>-1364.1178035284684</v>
      </c>
      <c r="O51" s="73">
        <f t="shared" si="32"/>
        <v>-1497.7780113217252</v>
      </c>
      <c r="P51" s="73">
        <f t="shared" si="32"/>
        <v>-1640.0412988226497</v>
      </c>
      <c r="Q51" s="73">
        <f t="shared" si="32"/>
        <v>-1790.8970409384647</v>
      </c>
      <c r="R51" s="73">
        <f t="shared" si="32"/>
        <v>-1950.2562394075374</v>
      </c>
    </row>
    <row r="52" spans="1:86" x14ac:dyDescent="0.25">
      <c r="A52" s="82"/>
      <c r="B52" s="83" t="s">
        <v>19</v>
      </c>
      <c r="C52" s="77">
        <f t="shared" ref="C52:H52" si="33">C51/C11</f>
        <v>-2.1511517228250523E-2</v>
      </c>
      <c r="D52" s="77">
        <f t="shared" si="33"/>
        <v>-2.5173745173745175E-2</v>
      </c>
      <c r="E52" s="77">
        <f t="shared" si="33"/>
        <v>-3.2238894666468579E-2</v>
      </c>
      <c r="F52" s="77">
        <f t="shared" si="33"/>
        <v>-3.0113694561098022E-2</v>
      </c>
      <c r="G52" s="77">
        <f t="shared" si="33"/>
        <v>-1.8315686990385785E-2</v>
      </c>
      <c r="H52" s="77">
        <f t="shared" si="33"/>
        <v>-1.9066988686920045E-2</v>
      </c>
      <c r="I52" s="78">
        <v>-0.02</v>
      </c>
      <c r="J52" s="79">
        <v>-2.5000000000000001E-2</v>
      </c>
      <c r="K52" s="79">
        <v>-0.03</v>
      </c>
      <c r="L52" s="79">
        <v>-0.03</v>
      </c>
      <c r="M52" s="79">
        <v>-0.03</v>
      </c>
      <c r="N52" s="79">
        <v>-0.03</v>
      </c>
      <c r="O52" s="79">
        <v>-0.03</v>
      </c>
      <c r="P52" s="79">
        <v>-0.03</v>
      </c>
      <c r="Q52" s="79">
        <v>-0.03</v>
      </c>
      <c r="R52" s="79">
        <v>-0.03</v>
      </c>
    </row>
    <row r="53" spans="1:86" x14ac:dyDescent="0.25">
      <c r="A53" s="1"/>
      <c r="B53" s="1"/>
      <c r="C53" s="1"/>
      <c r="D53" s="1"/>
      <c r="F53" s="1"/>
      <c r="G53" s="1"/>
      <c r="H53" s="1"/>
      <c r="I53" s="13"/>
      <c r="J53" s="72"/>
      <c r="K53" s="72"/>
      <c r="L53" s="72"/>
      <c r="M53" s="72"/>
      <c r="N53" s="72"/>
      <c r="O53" s="72"/>
      <c r="P53" s="72"/>
      <c r="Q53" s="72"/>
      <c r="R53" s="72"/>
    </row>
    <row r="54" spans="1:86" x14ac:dyDescent="0.25">
      <c r="A54" s="1"/>
      <c r="B54" s="1" t="s">
        <v>25</v>
      </c>
      <c r="C54" s="1">
        <v>-244</v>
      </c>
      <c r="D54" s="1">
        <v>-727</v>
      </c>
      <c r="E54" s="2">
        <v>-542</v>
      </c>
      <c r="F54" s="37">
        <v>-931</v>
      </c>
      <c r="G54" s="37">
        <v>-774</v>
      </c>
      <c r="H54" s="37">
        <v>-1846</v>
      </c>
      <c r="I54" s="21">
        <f t="shared" ref="I54:R54" si="34">I55*I11</f>
        <v>-1148.5</v>
      </c>
      <c r="J54" s="73">
        <f t="shared" si="34"/>
        <v>-1085.2</v>
      </c>
      <c r="K54" s="73">
        <f t="shared" si="34"/>
        <v>-925.8</v>
      </c>
      <c r="L54" s="73">
        <f t="shared" si="34"/>
        <v>-748.2</v>
      </c>
      <c r="M54" s="73">
        <f t="shared" si="34"/>
        <v>-413</v>
      </c>
      <c r="N54" s="73">
        <f t="shared" si="34"/>
        <v>454.70593450948945</v>
      </c>
      <c r="O54" s="73">
        <f t="shared" si="34"/>
        <v>998.51867421448344</v>
      </c>
      <c r="P54" s="73">
        <f t="shared" si="34"/>
        <v>1093.3608658817666</v>
      </c>
      <c r="Q54" s="73">
        <f t="shared" si="34"/>
        <v>1193.9313606256433</v>
      </c>
      <c r="R54" s="73">
        <f t="shared" si="34"/>
        <v>1300.1708262716916</v>
      </c>
    </row>
    <row r="55" spans="1:86" x14ac:dyDescent="0.25">
      <c r="A55" s="82"/>
      <c r="B55" s="83" t="s">
        <v>19</v>
      </c>
      <c r="C55" s="77">
        <f t="shared" ref="C55:H55" si="35">C54/C11</f>
        <v>-4.6449647820293163E-2</v>
      </c>
      <c r="D55" s="77">
        <f t="shared" si="35"/>
        <v>-0.11227799227799228</v>
      </c>
      <c r="E55" s="77">
        <f t="shared" si="35"/>
        <v>-8.0522953498737185E-2</v>
      </c>
      <c r="F55" s="77">
        <f t="shared" si="35"/>
        <v>-9.5360032776810405E-2</v>
      </c>
      <c r="G55" s="77">
        <f t="shared" si="35"/>
        <v>-4.7097480832420595E-2</v>
      </c>
      <c r="H55" s="77">
        <f t="shared" si="35"/>
        <v>-7.8217024702343124E-2</v>
      </c>
      <c r="I55" s="85">
        <v>-0.05</v>
      </c>
      <c r="J55" s="86">
        <v>-0.04</v>
      </c>
      <c r="K55" s="86">
        <v>-0.03</v>
      </c>
      <c r="L55" s="86">
        <v>-0.02</v>
      </c>
      <c r="M55" s="86">
        <v>-0.01</v>
      </c>
      <c r="N55" s="86">
        <v>0.01</v>
      </c>
      <c r="O55" s="86">
        <v>0.02</v>
      </c>
      <c r="P55" s="86">
        <v>0.02</v>
      </c>
      <c r="Q55" s="86">
        <v>0.02</v>
      </c>
      <c r="R55" s="86">
        <v>0.02</v>
      </c>
    </row>
    <row r="56" spans="1:86" x14ac:dyDescent="0.25">
      <c r="A56" s="1"/>
      <c r="B56" s="1"/>
      <c r="C56" s="1"/>
      <c r="D56" s="1"/>
      <c r="E56" s="1"/>
      <c r="F56" s="1"/>
      <c r="G56" s="1"/>
      <c r="H56" s="1"/>
      <c r="I56" s="13"/>
      <c r="J56" s="72"/>
      <c r="K56" s="72"/>
      <c r="L56" s="72"/>
      <c r="M56" s="72"/>
      <c r="N56" s="72"/>
      <c r="O56" s="72"/>
      <c r="P56" s="72"/>
      <c r="Q56" s="72"/>
      <c r="R56" s="72"/>
    </row>
    <row r="57" spans="1:86" x14ac:dyDescent="0.25">
      <c r="A57" s="1"/>
      <c r="B57" s="10" t="s">
        <v>26</v>
      </c>
      <c r="C57" s="12">
        <f>C41+C44</f>
        <v>145</v>
      </c>
      <c r="D57" s="12">
        <f t="shared" ref="D57:R57" si="36">D41+D44</f>
        <v>442</v>
      </c>
      <c r="E57" s="12">
        <f t="shared" si="36"/>
        <v>662</v>
      </c>
      <c r="F57" s="12">
        <f>F41+F44</f>
        <v>159</v>
      </c>
      <c r="G57" s="12">
        <f>G41+G44</f>
        <v>4161</v>
      </c>
      <c r="H57" s="12">
        <f>H41+H44</f>
        <v>1142</v>
      </c>
      <c r="I57" s="65">
        <f t="shared" si="36"/>
        <v>4440.5833699999994</v>
      </c>
      <c r="J57" s="75">
        <f t="shared" si="36"/>
        <v>6381.6542499999996</v>
      </c>
      <c r="K57" s="75">
        <f t="shared" si="36"/>
        <v>7699.0762399999994</v>
      </c>
      <c r="L57" s="75">
        <f t="shared" si="36"/>
        <v>12156.379500000001</v>
      </c>
      <c r="M57" s="75">
        <f t="shared" si="36"/>
        <v>14892.367000000002</v>
      </c>
      <c r="N57" s="75">
        <f t="shared" si="36"/>
        <v>16396.24129247768</v>
      </c>
      <c r="O57" s="75">
        <f t="shared" si="36"/>
        <v>18002.792436750035</v>
      </c>
      <c r="P57" s="75">
        <f t="shared" si="36"/>
        <v>19712.749731415312</v>
      </c>
      <c r="Q57" s="75">
        <f t="shared" si="36"/>
        <v>21525.985466400034</v>
      </c>
      <c r="R57" s="75">
        <f t="shared" si="36"/>
        <v>23441.429912265467</v>
      </c>
    </row>
    <row r="58" spans="1:86" x14ac:dyDescent="0.25">
      <c r="A58" s="1"/>
      <c r="B58" s="10" t="s">
        <v>42</v>
      </c>
      <c r="C58" s="12">
        <v>-7</v>
      </c>
      <c r="D58" s="12">
        <v>-2</v>
      </c>
      <c r="E58" s="12">
        <v>0</v>
      </c>
      <c r="F58" s="12">
        <v>5</v>
      </c>
      <c r="G58" s="12">
        <v>6</v>
      </c>
      <c r="H58" s="12">
        <v>14</v>
      </c>
      <c r="I58" s="65">
        <v>5</v>
      </c>
      <c r="J58" s="75">
        <v>5</v>
      </c>
      <c r="K58" s="75">
        <v>5</v>
      </c>
      <c r="L58" s="75">
        <v>5</v>
      </c>
      <c r="M58" s="75">
        <v>5</v>
      </c>
      <c r="N58" s="75">
        <v>5</v>
      </c>
      <c r="O58" s="75">
        <v>5</v>
      </c>
      <c r="P58" s="75">
        <v>5</v>
      </c>
      <c r="Q58" s="75">
        <v>5</v>
      </c>
      <c r="R58" s="75">
        <v>5</v>
      </c>
    </row>
    <row r="59" spans="1:86" x14ac:dyDescent="0.25">
      <c r="A59" s="1"/>
      <c r="B59" s="10" t="s">
        <v>27</v>
      </c>
      <c r="C59" s="12">
        <f t="shared" ref="C59:G59" si="37">C39-C44+C58</f>
        <v>-33</v>
      </c>
      <c r="D59" s="12">
        <f t="shared" si="37"/>
        <v>337</v>
      </c>
      <c r="E59" s="12">
        <f t="shared" si="37"/>
        <v>341</v>
      </c>
      <c r="F59" s="12">
        <f t="shared" si="37"/>
        <v>2490</v>
      </c>
      <c r="G59" s="12">
        <f t="shared" si="37"/>
        <v>3162</v>
      </c>
      <c r="H59" s="12">
        <f>H39-H44+H58</f>
        <v>1320</v>
      </c>
      <c r="I59" s="65">
        <f>I39-I44+I58</f>
        <v>4662.8336299999992</v>
      </c>
      <c r="J59" s="75">
        <f t="shared" ref="J59:R59" si="38">J39-J44+J58</f>
        <v>6917.0457500000002</v>
      </c>
      <c r="K59" s="75">
        <f t="shared" si="38"/>
        <v>8334.607759999999</v>
      </c>
      <c r="L59" s="75">
        <f t="shared" si="38"/>
        <v>13100.370500000001</v>
      </c>
      <c r="M59" s="75">
        <f t="shared" si="38"/>
        <v>13485.733000000002</v>
      </c>
      <c r="N59" s="75">
        <f t="shared" si="38"/>
        <v>14847.056408324244</v>
      </c>
      <c r="O59" s="75">
        <f t="shared" si="38"/>
        <v>16301.324022517483</v>
      </c>
      <c r="P59" s="75">
        <f t="shared" si="38"/>
        <v>17849.196011623375</v>
      </c>
      <c r="Q59" s="75">
        <f t="shared" si="38"/>
        <v>19490.556771090811</v>
      </c>
      <c r="R59" s="75">
        <f t="shared" si="38"/>
        <v>21224.437970167142</v>
      </c>
      <c r="S59" s="61">
        <f>R59*(1+$E$6)</f>
        <v>22073.415488973827</v>
      </c>
      <c r="T59" s="61">
        <f t="shared" ref="T59:CE59" si="39">S59*(1+$E$6)</f>
        <v>22956.352108532781</v>
      </c>
      <c r="U59" s="61">
        <f t="shared" si="39"/>
        <v>23874.606192874093</v>
      </c>
      <c r="V59" s="61">
        <f t="shared" si="39"/>
        <v>24829.590440589058</v>
      </c>
      <c r="W59" s="61">
        <f t="shared" si="39"/>
        <v>25822.774058212621</v>
      </c>
      <c r="X59" s="61">
        <f t="shared" si="39"/>
        <v>26855.685020541125</v>
      </c>
      <c r="Y59" s="61">
        <f t="shared" si="39"/>
        <v>27929.912421362769</v>
      </c>
      <c r="Z59" s="61">
        <f t="shared" si="39"/>
        <v>29047.10891821728</v>
      </c>
      <c r="AA59" s="61">
        <f t="shared" si="39"/>
        <v>30208.993274945973</v>
      </c>
      <c r="AB59" s="61">
        <f t="shared" si="39"/>
        <v>31417.353005943813</v>
      </c>
      <c r="AC59" s="61">
        <f t="shared" si="39"/>
        <v>32674.047126181566</v>
      </c>
      <c r="AD59" s="61">
        <f t="shared" si="39"/>
        <v>33981.009011228831</v>
      </c>
      <c r="AE59" s="61">
        <f t="shared" si="39"/>
        <v>35340.249371677986</v>
      </c>
      <c r="AF59" s="61">
        <f t="shared" si="39"/>
        <v>36753.859346545105</v>
      </c>
      <c r="AG59" s="61">
        <f t="shared" si="39"/>
        <v>38224.013720406911</v>
      </c>
      <c r="AH59" s="61">
        <f t="shared" si="39"/>
        <v>39752.974269223188</v>
      </c>
      <c r="AI59" s="61">
        <f t="shared" si="39"/>
        <v>41343.093239992115</v>
      </c>
      <c r="AJ59" s="61">
        <f t="shared" si="39"/>
        <v>42996.816969591804</v>
      </c>
      <c r="AK59" s="61">
        <f t="shared" si="39"/>
        <v>44716.689648375475</v>
      </c>
      <c r="AL59" s="61">
        <f t="shared" si="39"/>
        <v>46505.357234310497</v>
      </c>
      <c r="AM59" s="61">
        <f t="shared" si="39"/>
        <v>48365.57152368292</v>
      </c>
      <c r="AN59" s="61">
        <f t="shared" si="39"/>
        <v>50300.194384630238</v>
      </c>
      <c r="AO59" s="61">
        <f t="shared" si="39"/>
        <v>52312.202160015448</v>
      </c>
      <c r="AP59" s="61">
        <f t="shared" si="39"/>
        <v>54404.690246416067</v>
      </c>
      <c r="AQ59" s="61">
        <f t="shared" si="39"/>
        <v>56580.877856272709</v>
      </c>
      <c r="AR59" s="61">
        <f t="shared" si="39"/>
        <v>58844.112970523616</v>
      </c>
      <c r="AS59" s="61">
        <f t="shared" si="39"/>
        <v>61197.877489344566</v>
      </c>
      <c r="AT59" s="61">
        <f t="shared" si="39"/>
        <v>63645.792588918353</v>
      </c>
      <c r="AU59" s="61">
        <f t="shared" si="39"/>
        <v>66191.624292475084</v>
      </c>
      <c r="AV59" s="61">
        <f t="shared" si="39"/>
        <v>68839.289264174091</v>
      </c>
      <c r="AW59" s="61">
        <f t="shared" si="39"/>
        <v>71592.860834741063</v>
      </c>
      <c r="AX59" s="61">
        <f t="shared" si="39"/>
        <v>74456.575268130706</v>
      </c>
      <c r="AY59" s="61">
        <f t="shared" si="39"/>
        <v>77434.838278855939</v>
      </c>
      <c r="AZ59" s="61">
        <f t="shared" si="39"/>
        <v>80532.231810010184</v>
      </c>
      <c r="BA59" s="61">
        <f t="shared" si="39"/>
        <v>83753.521082410589</v>
      </c>
      <c r="BB59" s="61">
        <f t="shared" si="39"/>
        <v>87103.661925707012</v>
      </c>
      <c r="BC59" s="61">
        <f t="shared" si="39"/>
        <v>90587.808402735289</v>
      </c>
      <c r="BD59" s="61">
        <f t="shared" si="39"/>
        <v>94211.320738844704</v>
      </c>
      <c r="BE59" s="61">
        <f t="shared" si="39"/>
        <v>97979.773568398494</v>
      </c>
      <c r="BF59" s="61">
        <f t="shared" si="39"/>
        <v>101898.96451113444</v>
      </c>
      <c r="BG59" s="61">
        <f t="shared" si="39"/>
        <v>105974.92309157983</v>
      </c>
      <c r="BH59" s="61">
        <f t="shared" si="39"/>
        <v>110213.92001524303</v>
      </c>
      <c r="BI59" s="61">
        <f t="shared" si="39"/>
        <v>114622.47681585276</v>
      </c>
      <c r="BJ59" s="61">
        <f t="shared" si="39"/>
        <v>119207.37588848687</v>
      </c>
      <c r="BK59" s="61">
        <f t="shared" si="39"/>
        <v>123975.67092402636</v>
      </c>
      <c r="BL59" s="61">
        <f t="shared" si="39"/>
        <v>128934.69776098742</v>
      </c>
      <c r="BM59" s="61">
        <f t="shared" si="39"/>
        <v>134092.0856714269</v>
      </c>
      <c r="BN59" s="61">
        <f t="shared" si="39"/>
        <v>139455.76909828398</v>
      </c>
      <c r="BO59" s="61">
        <f t="shared" si="39"/>
        <v>145033.99986221534</v>
      </c>
      <c r="BP59" s="61">
        <f t="shared" si="39"/>
        <v>150835.35985670396</v>
      </c>
      <c r="BQ59" s="61">
        <f t="shared" si="39"/>
        <v>156868.77425097211</v>
      </c>
      <c r="BR59" s="61">
        <f t="shared" si="39"/>
        <v>163143.52522101099</v>
      </c>
      <c r="BS59" s="61">
        <f t="shared" si="39"/>
        <v>169669.26622985143</v>
      </c>
      <c r="BT59" s="61">
        <f t="shared" si="39"/>
        <v>176456.03687904551</v>
      </c>
      <c r="BU59" s="61">
        <f t="shared" si="39"/>
        <v>183514.27835420734</v>
      </c>
      <c r="BV59" s="61">
        <f t="shared" si="39"/>
        <v>190854.84948837565</v>
      </c>
      <c r="BW59" s="61">
        <f t="shared" si="39"/>
        <v>198489.04346791067</v>
      </c>
      <c r="BX59" s="61">
        <f t="shared" si="39"/>
        <v>206428.60520662711</v>
      </c>
      <c r="BY59" s="61">
        <f t="shared" si="39"/>
        <v>214685.7494148922</v>
      </c>
      <c r="BZ59" s="61">
        <f t="shared" si="39"/>
        <v>223273.17939148788</v>
      </c>
      <c r="CA59" s="61">
        <f t="shared" si="39"/>
        <v>232204.10656714739</v>
      </c>
      <c r="CB59" s="61">
        <f t="shared" si="39"/>
        <v>241492.27082983329</v>
      </c>
      <c r="CC59" s="61">
        <f t="shared" si="39"/>
        <v>251151.96166302662</v>
      </c>
      <c r="CD59" s="61">
        <f t="shared" si="39"/>
        <v>261198.04012954771</v>
      </c>
      <c r="CE59" s="61">
        <f t="shared" si="39"/>
        <v>271645.96173472964</v>
      </c>
      <c r="CF59" s="61">
        <f t="shared" ref="CF59:CH59" si="40">CE59*(1+$E$6)</f>
        <v>282511.80020411883</v>
      </c>
      <c r="CG59" s="61">
        <f t="shared" si="40"/>
        <v>293812.27221228357</v>
      </c>
      <c r="CH59" s="61">
        <f t="shared" si="40"/>
        <v>305564.7631007749</v>
      </c>
    </row>
    <row r="60" spans="1:86" x14ac:dyDescent="0.25">
      <c r="A60" s="1"/>
      <c r="B60" s="6"/>
      <c r="C60" s="22"/>
      <c r="D60" s="22"/>
      <c r="E60" s="22"/>
      <c r="F60" s="22"/>
      <c r="G60" s="22"/>
      <c r="H60" s="22"/>
      <c r="I60" s="13"/>
      <c r="J60" s="72"/>
      <c r="K60" s="72"/>
      <c r="L60" s="72"/>
      <c r="M60" s="72"/>
      <c r="N60" s="72"/>
      <c r="O60" s="72"/>
      <c r="P60" s="72"/>
      <c r="Q60" s="72"/>
      <c r="R60" s="72"/>
    </row>
    <row r="61" spans="1:86" x14ac:dyDescent="0.25">
      <c r="A61" s="1"/>
      <c r="B61" s="10" t="s">
        <v>28</v>
      </c>
      <c r="C61" s="12">
        <f>C57+C48+C51-C54</f>
        <v>420</v>
      </c>
      <c r="D61" s="12">
        <f t="shared" ref="D61:F61" si="41">D57+D48+D51-D54</f>
        <v>1176</v>
      </c>
      <c r="E61" s="12">
        <f t="shared" si="41"/>
        <v>1209</v>
      </c>
      <c r="F61" s="12">
        <f t="shared" si="41"/>
        <v>1108</v>
      </c>
      <c r="G61" s="12">
        <f>G57+G48+G51-G54</f>
        <v>5041</v>
      </c>
      <c r="H61" s="12">
        <f>H57+H48+H51-H54</f>
        <v>6712</v>
      </c>
      <c r="I61" s="65">
        <f t="shared" ref="I61:R61" si="42">I57+I48+I51-I54</f>
        <v>5818.7833700000001</v>
      </c>
      <c r="J61" s="75">
        <f t="shared" si="42"/>
        <v>7602.504249999999</v>
      </c>
      <c r="K61" s="75">
        <f t="shared" si="42"/>
        <v>8624.8762399999996</v>
      </c>
      <c r="L61" s="75">
        <f t="shared" si="42"/>
        <v>12904.579500000002</v>
      </c>
      <c r="M61" s="75">
        <f t="shared" si="42"/>
        <v>15305.367000000002</v>
      </c>
      <c r="N61" s="75">
        <f t="shared" si="42"/>
        <v>15941.535357968191</v>
      </c>
      <c r="O61" s="75">
        <f t="shared" si="42"/>
        <v>17004.273762535551</v>
      </c>
      <c r="P61" s="75">
        <f t="shared" si="42"/>
        <v>18619.388865533547</v>
      </c>
      <c r="Q61" s="75">
        <f t="shared" si="42"/>
        <v>20332.05410577439</v>
      </c>
      <c r="R61" s="75">
        <f t="shared" si="42"/>
        <v>22141.259085993774</v>
      </c>
    </row>
    <row r="62" spans="1:86" x14ac:dyDescent="0.25">
      <c r="A62" s="1"/>
      <c r="B62" s="24" t="s">
        <v>29</v>
      </c>
      <c r="C62" s="1"/>
      <c r="D62" s="1"/>
      <c r="E62" s="1"/>
      <c r="F62" s="1"/>
      <c r="G62" s="1"/>
      <c r="H62" s="1"/>
      <c r="I62" s="64">
        <f t="shared" ref="I62:R62" si="43">I61/((1+$E$5)^I9)</f>
        <v>5147.3499593500801</v>
      </c>
      <c r="J62" s="62">
        <f t="shared" si="43"/>
        <v>5949.2152981834288</v>
      </c>
      <c r="K62" s="62">
        <f t="shared" si="43"/>
        <v>5970.454509422585</v>
      </c>
      <c r="L62" s="62">
        <f t="shared" si="43"/>
        <v>7902.234010077832</v>
      </c>
      <c r="M62" s="62">
        <f t="shared" si="43"/>
        <v>8290.8924961333487</v>
      </c>
      <c r="N62" s="62">
        <f t="shared" si="43"/>
        <v>7639.0471408709573</v>
      </c>
      <c r="O62" s="62">
        <f t="shared" si="43"/>
        <v>7208.0640799293642</v>
      </c>
      <c r="P62" s="62">
        <f t="shared" si="43"/>
        <v>6981.9619876665201</v>
      </c>
      <c r="Q62" s="62">
        <f t="shared" si="43"/>
        <v>6744.4233255565659</v>
      </c>
      <c r="R62" s="62">
        <f t="shared" si="43"/>
        <v>6497.067608665945</v>
      </c>
    </row>
    <row r="63" spans="1:86" x14ac:dyDescent="0.25">
      <c r="A63" s="1"/>
      <c r="B63" s="25"/>
      <c r="C63" s="25"/>
      <c r="D63" s="25"/>
      <c r="E63" s="25"/>
      <c r="F63" s="25"/>
      <c r="G63" s="25"/>
      <c r="H63" s="25"/>
      <c r="I63" s="16"/>
      <c r="J63" s="72"/>
      <c r="K63" s="72"/>
      <c r="L63" s="72"/>
      <c r="M63" s="72"/>
      <c r="N63" s="72"/>
      <c r="O63" s="72"/>
      <c r="P63" s="72"/>
      <c r="Q63" s="72"/>
      <c r="R63" s="72"/>
    </row>
    <row r="64" spans="1:86" x14ac:dyDescent="0.25">
      <c r="A64" s="1"/>
      <c r="B64" s="1" t="s">
        <v>30</v>
      </c>
      <c r="C64" s="26">
        <f>(R61*(1+$E$6))/($E$5-$E$6)</f>
        <v>254602.63576620756</v>
      </c>
      <c r="D64" s="1"/>
      <c r="E64" s="1" t="s">
        <v>31</v>
      </c>
      <c r="F64" s="19">
        <f>NPV($E$5,I59:CH59)</f>
        <v>135415.07563767934</v>
      </c>
      <c r="G64" s="1"/>
      <c r="H64" s="1"/>
      <c r="I64" s="16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3" t="s">
        <v>32</v>
      </c>
      <c r="C65" s="27">
        <f>C64/((1+$E$5)^$R$9)</f>
        <v>74709.867740267946</v>
      </c>
      <c r="D65" s="17"/>
      <c r="E65" s="3"/>
      <c r="F65" s="3"/>
      <c r="G65" s="3"/>
      <c r="H65" s="17"/>
      <c r="I65" s="13"/>
      <c r="J65" s="1"/>
      <c r="L65" s="51" t="s">
        <v>55</v>
      </c>
      <c r="M65" s="52"/>
      <c r="N65" s="52"/>
      <c r="O65" s="52"/>
      <c r="P65" s="52"/>
      <c r="Q65" s="51"/>
    </row>
    <row r="66" spans="1:17" x14ac:dyDescent="0.25">
      <c r="A66" s="1"/>
      <c r="B66" s="6" t="s">
        <v>33</v>
      </c>
      <c r="C66" s="6"/>
      <c r="D66" s="1"/>
      <c r="E66" s="6"/>
      <c r="F66" s="6"/>
      <c r="G66" s="28" t="s">
        <v>34</v>
      </c>
      <c r="H66" s="28" t="s">
        <v>31</v>
      </c>
      <c r="I66" s="16"/>
      <c r="J66" s="1"/>
      <c r="K66" s="51"/>
      <c r="L66" s="53">
        <f>D72</f>
        <v>87.590209122844172</v>
      </c>
      <c r="M66" s="54">
        <v>-0.01</v>
      </c>
      <c r="N66" s="54">
        <v>0.03</v>
      </c>
      <c r="O66" s="54">
        <v>0.04</v>
      </c>
      <c r="P66" s="54">
        <v>0.05</v>
      </c>
      <c r="Q66" s="54">
        <v>0.06</v>
      </c>
    </row>
    <row r="67" spans="1:17" x14ac:dyDescent="0.25">
      <c r="A67" s="1"/>
      <c r="B67" s="29" t="s">
        <v>35</v>
      </c>
      <c r="C67" s="1"/>
      <c r="D67" s="37">
        <f>3825+2114</f>
        <v>5939</v>
      </c>
      <c r="E67" s="1"/>
      <c r="F67" s="1"/>
      <c r="G67" s="26">
        <f>C65+SUM(I62:R62)</f>
        <v>143040.57815612457</v>
      </c>
      <c r="H67" s="19">
        <f>F64</f>
        <v>135415.07563767934</v>
      </c>
      <c r="I67" s="16"/>
      <c r="J67" s="1"/>
      <c r="K67" s="51"/>
      <c r="L67" s="55">
        <f>L68-1%</f>
        <v>0.11044254149269025</v>
      </c>
      <c r="M67" s="56">
        <f t="dataTable" ref="M67:Q71" dt2D="1" dtr="1" r1="E6" r2="E5"/>
        <v>85.488717119061022</v>
      </c>
      <c r="N67" s="56">
        <v>106.96313011490929</v>
      </c>
      <c r="O67" s="56">
        <v>115.99726593105058</v>
      </c>
      <c r="P67" s="56">
        <v>127.81371829693732</v>
      </c>
      <c r="Q67" s="56">
        <v>143.84461510639875</v>
      </c>
    </row>
    <row r="68" spans="1:17" x14ac:dyDescent="0.25">
      <c r="A68" s="1"/>
      <c r="B68" s="30" t="s">
        <v>36</v>
      </c>
      <c r="C68" s="3"/>
      <c r="D68" s="31">
        <f>6577-2518</f>
        <v>4059</v>
      </c>
      <c r="E68" s="3"/>
      <c r="F68" s="3"/>
      <c r="G68" s="3"/>
      <c r="H68" s="3"/>
      <c r="I68" s="16"/>
      <c r="J68" s="1"/>
      <c r="K68" s="52"/>
      <c r="L68" s="55">
        <f>L69-1%</f>
        <v>0.12044254149269025</v>
      </c>
      <c r="M68" s="56">
        <v>77.147337713699642</v>
      </c>
      <c r="N68" s="57">
        <v>93.469912384208214</v>
      </c>
      <c r="O68" s="57">
        <v>100.02378790092422</v>
      </c>
      <c r="P68" s="57">
        <v>108.35016529088628</v>
      </c>
      <c r="Q68" s="56">
        <v>119.23648190014239</v>
      </c>
    </row>
    <row r="69" spans="1:17" x14ac:dyDescent="0.25">
      <c r="A69" s="1"/>
      <c r="B69" s="6" t="s">
        <v>37</v>
      </c>
      <c r="C69" s="6"/>
      <c r="D69" s="6"/>
      <c r="E69" s="6"/>
      <c r="F69" s="6"/>
      <c r="G69" s="32">
        <f>(G67+D67-D68)</f>
        <v>144920.57815612457</v>
      </c>
      <c r="H69" s="33">
        <f>(H67+D67-D68)</f>
        <v>137295.07563767934</v>
      </c>
      <c r="I69" s="16"/>
      <c r="J69"/>
      <c r="K69" s="51" t="s">
        <v>1</v>
      </c>
      <c r="L69" s="58">
        <v>0.13044254149269024</v>
      </c>
      <c r="M69" s="56">
        <v>70.090669103910074</v>
      </c>
      <c r="N69" s="57">
        <v>82.716734694194685</v>
      </c>
      <c r="O69" s="59">
        <v>87.590209122844172</v>
      </c>
      <c r="P69" s="57">
        <v>93.636697796718721</v>
      </c>
      <c r="Q69" s="56">
        <v>101.3161504454969</v>
      </c>
    </row>
    <row r="70" spans="1:17" x14ac:dyDescent="0.25">
      <c r="A70" s="1"/>
      <c r="B70" s="3" t="s">
        <v>38</v>
      </c>
      <c r="C70" s="3"/>
      <c r="D70" s="37">
        <v>1611</v>
      </c>
      <c r="E70" s="3"/>
      <c r="F70" s="3"/>
      <c r="G70" s="3"/>
      <c r="H70" s="3"/>
      <c r="I70" s="16"/>
      <c r="J70" s="1"/>
      <c r="K70" s="51"/>
      <c r="L70" s="60">
        <f>L69+1%</f>
        <v>0.14044254149269025</v>
      </c>
      <c r="M70" s="56">
        <v>64.05669499914454</v>
      </c>
      <c r="N70" s="57">
        <v>73.970437034300403</v>
      </c>
      <c r="O70" s="57">
        <v>77.669909047183836</v>
      </c>
      <c r="P70" s="57">
        <v>82.170167634175357</v>
      </c>
      <c r="Q70" s="56">
        <v>87.75240406227806</v>
      </c>
    </row>
    <row r="71" spans="1:17" x14ac:dyDescent="0.25">
      <c r="A71" s="1"/>
      <c r="B71" s="18" t="s">
        <v>39</v>
      </c>
      <c r="C71" s="18"/>
      <c r="D71" s="18">
        <f>D70*$J$5</f>
        <v>189872.46</v>
      </c>
      <c r="E71" s="18"/>
      <c r="F71" s="18"/>
      <c r="G71" s="18"/>
      <c r="H71" s="34"/>
      <c r="I71" s="1"/>
      <c r="J71" s="1"/>
      <c r="K71" s="51"/>
      <c r="L71" s="60">
        <f>L70+1%</f>
        <v>0.15044254149269026</v>
      </c>
      <c r="M71" s="56">
        <v>58.848864474949188</v>
      </c>
      <c r="N71" s="56">
        <v>66.733890635491832</v>
      </c>
      <c r="O71" s="56">
        <v>69.591726853095807</v>
      </c>
      <c r="P71" s="56">
        <v>73.010729709661419</v>
      </c>
      <c r="Q71" s="56">
        <v>77.169183298413856</v>
      </c>
    </row>
    <row r="72" spans="1:17" x14ac:dyDescent="0.25">
      <c r="A72" s="1"/>
      <c r="B72" s="6" t="s">
        <v>40</v>
      </c>
      <c r="C72" s="6" t="s">
        <v>41</v>
      </c>
      <c r="D72" s="6">
        <f>(G72+H72)/2</f>
        <v>87.590209122844172</v>
      </c>
      <c r="F72" s="6"/>
      <c r="G72" s="35">
        <f>G69/D70</f>
        <v>89.956907607774411</v>
      </c>
      <c r="H72" s="35">
        <f>H69/D70</f>
        <v>85.223510637913932</v>
      </c>
      <c r="I72" s="16"/>
      <c r="J72" s="1"/>
    </row>
    <row r="73" spans="1:17" x14ac:dyDescent="0.25">
      <c r="A73"/>
      <c r="C73" s="1"/>
      <c r="D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2"/>
  <sheetViews>
    <sheetView workbookViewId="0">
      <selection activeCell="F9" sqref="F9"/>
    </sheetView>
  </sheetViews>
  <sheetFormatPr defaultRowHeight="15" x14ac:dyDescent="0.25"/>
  <cols>
    <col min="11" max="11" width="11.42578125" customWidth="1"/>
  </cols>
  <sheetData>
    <row r="1" spans="1:1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ht="23.25" x14ac:dyDescent="0.35">
      <c r="A2" s="2"/>
      <c r="B2" s="39" t="s">
        <v>1</v>
      </c>
      <c r="C2" s="2"/>
      <c r="D2" s="2"/>
      <c r="E2" s="2"/>
      <c r="F2" s="2"/>
      <c r="G2" s="2"/>
      <c r="H2" s="2"/>
      <c r="I2" s="2"/>
      <c r="J2" s="2"/>
      <c r="K2" s="2"/>
      <c r="L2" s="40"/>
    </row>
    <row r="3" spans="1:13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2"/>
    </row>
    <row r="4" spans="1:13" x14ac:dyDescent="0.25">
      <c r="A4" s="42" t="s">
        <v>44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25">
      <c r="A6" s="2"/>
      <c r="B6" s="2" t="s">
        <v>45</v>
      </c>
      <c r="C6" s="2"/>
      <c r="D6" s="71">
        <v>0.12</v>
      </c>
      <c r="E6" s="2"/>
      <c r="F6" s="2"/>
      <c r="G6" s="2"/>
      <c r="H6" s="2"/>
      <c r="I6" s="2"/>
      <c r="J6" s="2"/>
      <c r="K6" s="2"/>
      <c r="L6" s="2"/>
    </row>
    <row r="7" spans="1:13" x14ac:dyDescent="0.25">
      <c r="A7" s="2"/>
      <c r="B7" s="2" t="s">
        <v>46</v>
      </c>
      <c r="C7" s="2"/>
      <c r="D7" s="71">
        <v>3.6999999999999998E-2</v>
      </c>
      <c r="E7" s="2"/>
      <c r="F7" s="2"/>
      <c r="G7" s="2"/>
      <c r="H7" s="2"/>
      <c r="I7" s="2"/>
      <c r="J7" s="2"/>
      <c r="K7" s="2"/>
      <c r="L7" s="2"/>
    </row>
    <row r="8" spans="1:13" x14ac:dyDescent="0.25">
      <c r="A8" s="2"/>
      <c r="B8" s="2" t="s">
        <v>59</v>
      </c>
      <c r="C8" s="2"/>
      <c r="D8" s="57">
        <f>D9*0.667+0.333</f>
        <v>1.5936299999999999</v>
      </c>
      <c r="E8" s="2"/>
      <c r="F8" s="2"/>
      <c r="G8" s="2"/>
      <c r="H8" s="2"/>
      <c r="I8" s="2"/>
      <c r="J8" s="2"/>
      <c r="K8" s="2"/>
      <c r="L8" s="2"/>
    </row>
    <row r="9" spans="1:13" x14ac:dyDescent="0.25">
      <c r="A9" s="2"/>
      <c r="B9" s="2" t="s">
        <v>47</v>
      </c>
      <c r="C9" s="2"/>
      <c r="D9" s="70">
        <v>1.89</v>
      </c>
      <c r="E9" s="2"/>
      <c r="F9" s="2"/>
      <c r="G9" s="2"/>
      <c r="H9" s="2"/>
      <c r="I9" s="2"/>
      <c r="J9" s="2"/>
      <c r="K9" s="2"/>
      <c r="L9" s="2"/>
    </row>
    <row r="10" spans="1:13" x14ac:dyDescent="0.25">
      <c r="A10" s="2"/>
      <c r="B10" s="2" t="s">
        <v>48</v>
      </c>
      <c r="C10" s="2"/>
      <c r="D10" s="71">
        <v>0.06</v>
      </c>
      <c r="E10" s="2"/>
      <c r="F10" s="2"/>
      <c r="G10" s="2"/>
      <c r="H10" s="2"/>
      <c r="I10" s="2"/>
      <c r="J10" s="2"/>
      <c r="K10" s="2"/>
      <c r="L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7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25">
      <c r="A13" s="2" t="s">
        <v>37</v>
      </c>
      <c r="B13" s="2"/>
      <c r="C13" s="23">
        <f>'AMD DCF'!D71</f>
        <v>189872.46</v>
      </c>
      <c r="D13" s="2"/>
      <c r="E13" s="2" t="s">
        <v>36</v>
      </c>
      <c r="F13" s="2"/>
      <c r="G13" s="23">
        <f>'AMD DCF'!D68</f>
        <v>4059</v>
      </c>
      <c r="H13" s="2"/>
      <c r="I13" s="2" t="s">
        <v>49</v>
      </c>
      <c r="J13" s="2"/>
      <c r="K13" s="23">
        <f>G13+C13</f>
        <v>193931.46</v>
      </c>
      <c r="L13" s="2"/>
    </row>
    <row r="14" spans="1:13" x14ac:dyDescent="0.25">
      <c r="A14" s="2" t="s">
        <v>50</v>
      </c>
      <c r="B14" s="2"/>
      <c r="C14" s="43">
        <f>C13/K13</f>
        <v>0.97906992501371359</v>
      </c>
      <c r="D14" s="2"/>
      <c r="E14" s="2" t="s">
        <v>51</v>
      </c>
      <c r="F14" s="2"/>
      <c r="G14" s="44">
        <f>G13/K13</f>
        <v>2.0930074986286393E-2</v>
      </c>
      <c r="H14" s="2"/>
      <c r="I14" s="2"/>
      <c r="J14" s="2"/>
      <c r="K14" s="2"/>
      <c r="L14" s="2"/>
      <c r="M14" s="37"/>
    </row>
    <row r="15" spans="1:13" x14ac:dyDescent="0.25">
      <c r="A15" s="2" t="s">
        <v>52</v>
      </c>
      <c r="B15" s="2"/>
      <c r="C15" s="45">
        <f>D7+((D8))*(D10)</f>
        <v>0.13261779999999998</v>
      </c>
      <c r="D15" s="2"/>
      <c r="E15" s="2" t="s">
        <v>53</v>
      </c>
      <c r="F15" s="2"/>
      <c r="G15" s="46">
        <v>3.2599999999999997E-2</v>
      </c>
      <c r="H15" s="2"/>
      <c r="I15" s="47" t="s">
        <v>1</v>
      </c>
      <c r="J15" s="48"/>
      <c r="K15" s="69">
        <f>C14*C15+G15*G14*(1-D6)</f>
        <v>0.13044254149269024</v>
      </c>
      <c r="L15" s="2"/>
    </row>
    <row r="16" spans="1:13" x14ac:dyDescent="0.25">
      <c r="D16" s="37"/>
      <c r="G16" s="37"/>
      <c r="J16" s="37"/>
      <c r="M16" s="37"/>
    </row>
    <row r="17" spans="1:14" x14ac:dyDescent="0.25">
      <c r="A17" t="s">
        <v>43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1:14" x14ac:dyDescent="0.25">
      <c r="D18" s="37"/>
      <c r="G18" s="37"/>
      <c r="J18" s="37"/>
      <c r="M18" s="37"/>
    </row>
    <row r="22" spans="1:14" x14ac:dyDescent="0.25">
      <c r="D22" s="37"/>
      <c r="E22" s="37"/>
      <c r="F22" s="37"/>
      <c r="G22" s="37"/>
      <c r="H22" s="37"/>
      <c r="I22" s="37"/>
      <c r="J22" s="37"/>
      <c r="K22" s="37"/>
      <c r="L22" s="37"/>
      <c r="M22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AMD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2023-06-03T10:32:16Z</dcterms:modified>
</cp:coreProperties>
</file>