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1\Desktop\DCFs\"/>
    </mc:Choice>
  </mc:AlternateContent>
  <xr:revisionPtr revIDLastSave="0" documentId="8_{AA44391B-A818-497D-A44F-F1419F9F2EEF}" xr6:coauthVersionLast="47" xr6:coauthVersionMax="47" xr10:uidLastSave="{00000000-0000-0000-0000-000000000000}"/>
  <bookViews>
    <workbookView xWindow="-120" yWindow="-120" windowWidth="20730" windowHeight="11040" xr2:uid="{3F256251-7061-49B2-9B0B-301EC1E08ECF}"/>
  </bookViews>
  <sheets>
    <sheet name="EL DCF" sheetId="1" r:id="rId1"/>
    <sheet name="Raw IS" sheetId="3" r:id="rId2"/>
    <sheet name="Raw CF" sheetId="4" r:id="rId3"/>
    <sheet name="WACC" sheetId="2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63" i="1" l="1"/>
  <c r="D61" i="1"/>
  <c r="I51" i="1"/>
  <c r="J51" i="1"/>
  <c r="K51" i="1"/>
  <c r="L51" i="1"/>
  <c r="M51" i="1"/>
  <c r="N51" i="1"/>
  <c r="O51" i="1"/>
  <c r="P51" i="1"/>
  <c r="Q51" i="1"/>
  <c r="R51" i="1"/>
  <c r="I49" i="1"/>
  <c r="J49" i="1"/>
  <c r="K49" i="1"/>
  <c r="L49" i="1"/>
  <c r="M49" i="1"/>
  <c r="N49" i="1"/>
  <c r="O49" i="1"/>
  <c r="P49" i="1"/>
  <c r="Q49" i="1"/>
  <c r="R49" i="1"/>
  <c r="H25" i="1"/>
  <c r="J14" i="1"/>
  <c r="K14" i="1"/>
  <c r="L14" i="1"/>
  <c r="M14" i="1"/>
  <c r="N14" i="1"/>
  <c r="O14" i="1"/>
  <c r="P14" i="1"/>
  <c r="Q14" i="1"/>
  <c r="R14" i="1"/>
  <c r="I14" i="1"/>
  <c r="J11" i="1"/>
  <c r="K11" i="1" s="1"/>
  <c r="L11" i="1" s="1"/>
  <c r="M11" i="1" s="1"/>
  <c r="N11" i="1" s="1"/>
  <c r="O11" i="1" s="1"/>
  <c r="P11" i="1" s="1"/>
  <c r="Q11" i="1" s="1"/>
  <c r="R11" i="1" s="1"/>
  <c r="I11" i="1"/>
  <c r="J22" i="1"/>
  <c r="I22" i="1"/>
  <c r="C51" i="1"/>
  <c r="D49" i="1"/>
  <c r="E49" i="1"/>
  <c r="F49" i="1"/>
  <c r="G49" i="1"/>
  <c r="H49" i="1"/>
  <c r="C49" i="1"/>
  <c r="G46" i="1"/>
  <c r="H46" i="1"/>
  <c r="F46" i="1"/>
  <c r="D46" i="1"/>
  <c r="E46" i="1"/>
  <c r="C46" i="1"/>
  <c r="G43" i="1"/>
  <c r="H43" i="1"/>
  <c r="F43" i="1"/>
  <c r="D43" i="1"/>
  <c r="E43" i="1"/>
  <c r="C43" i="1"/>
  <c r="C54" i="1" s="1"/>
  <c r="G40" i="1"/>
  <c r="H40" i="1"/>
  <c r="F40" i="1"/>
  <c r="D40" i="1"/>
  <c r="E40" i="1"/>
  <c r="C40" i="1"/>
  <c r="H50" i="1"/>
  <c r="G50" i="1"/>
  <c r="F50" i="1"/>
  <c r="E50" i="1"/>
  <c r="D50" i="1"/>
  <c r="C50" i="1"/>
  <c r="G36" i="1"/>
  <c r="H36" i="1"/>
  <c r="F36" i="1"/>
  <c r="E36" i="1"/>
  <c r="D36" i="1"/>
  <c r="C36" i="1"/>
  <c r="G31" i="1"/>
  <c r="H31" i="1"/>
  <c r="H51" i="1" s="1"/>
  <c r="F31" i="1"/>
  <c r="F51" i="1" s="1"/>
  <c r="D31" i="1"/>
  <c r="D51" i="1" s="1"/>
  <c r="E31" i="1"/>
  <c r="C31" i="1"/>
  <c r="D25" i="1"/>
  <c r="G22" i="1"/>
  <c r="G23" i="1" s="1"/>
  <c r="H22" i="1"/>
  <c r="F22" i="1"/>
  <c r="F23" i="1" s="1"/>
  <c r="D22" i="1"/>
  <c r="E22" i="1"/>
  <c r="E23" i="1" s="1"/>
  <c r="C22" i="1"/>
  <c r="C23" i="1" s="1"/>
  <c r="G19" i="1"/>
  <c r="G25" i="1" s="1"/>
  <c r="H19" i="1"/>
  <c r="F19" i="1"/>
  <c r="F25" i="1" s="1"/>
  <c r="F27" i="1" s="1"/>
  <c r="D19" i="1"/>
  <c r="E19" i="1"/>
  <c r="E25" i="1" s="1"/>
  <c r="C19" i="1"/>
  <c r="C25" i="1" s="1"/>
  <c r="G16" i="1"/>
  <c r="G27" i="1" s="1"/>
  <c r="G14" i="1"/>
  <c r="H14" i="1"/>
  <c r="F14" i="1"/>
  <c r="D14" i="1"/>
  <c r="E14" i="1"/>
  <c r="C14" i="1"/>
  <c r="G11" i="1"/>
  <c r="H11" i="1"/>
  <c r="F11" i="1"/>
  <c r="F16" i="1" s="1"/>
  <c r="D11" i="1"/>
  <c r="D16" i="1" s="1"/>
  <c r="D27" i="1" s="1"/>
  <c r="D28" i="1" s="1"/>
  <c r="E11" i="1"/>
  <c r="C11" i="1"/>
  <c r="C16" i="1" s="1"/>
  <c r="L61" i="1"/>
  <c r="L60" i="1" s="1"/>
  <c r="L63" i="1"/>
  <c r="L64" i="1" s="1"/>
  <c r="D64" i="1"/>
  <c r="C12" i="2" s="1"/>
  <c r="G12" i="2"/>
  <c r="C14" i="2"/>
  <c r="J9" i="1"/>
  <c r="K9" i="1" s="1"/>
  <c r="L9" i="1" s="1"/>
  <c r="M9" i="1" s="1"/>
  <c r="N9" i="1" s="1"/>
  <c r="O9" i="1" s="1"/>
  <c r="P9" i="1" s="1"/>
  <c r="Q9" i="1" s="1"/>
  <c r="R9" i="1" s="1"/>
  <c r="R28" i="1" l="1"/>
  <c r="P22" i="1"/>
  <c r="L22" i="1"/>
  <c r="R22" i="1"/>
  <c r="N22" i="1"/>
  <c r="Q22" i="1"/>
  <c r="O22" i="1"/>
  <c r="M22" i="1"/>
  <c r="K22" i="1"/>
  <c r="C27" i="1"/>
  <c r="C33" i="1" s="1"/>
  <c r="G28" i="1"/>
  <c r="G29" i="1" s="1"/>
  <c r="H23" i="1"/>
  <c r="D23" i="1"/>
  <c r="F28" i="1"/>
  <c r="G51" i="1"/>
  <c r="E51" i="1"/>
  <c r="E20" i="1"/>
  <c r="C41" i="1"/>
  <c r="E16" i="1"/>
  <c r="E27" i="1" s="1"/>
  <c r="E28" i="1" s="1"/>
  <c r="E29" i="1" s="1"/>
  <c r="H16" i="1"/>
  <c r="H27" i="1" s="1"/>
  <c r="H28" i="1" s="1"/>
  <c r="E41" i="1"/>
  <c r="D47" i="1"/>
  <c r="F12" i="1"/>
  <c r="F20" i="1"/>
  <c r="D29" i="1"/>
  <c r="H29" i="1"/>
  <c r="F29" i="1"/>
  <c r="P28" i="1"/>
  <c r="N28" i="1"/>
  <c r="L28" i="1"/>
  <c r="J28" i="1"/>
  <c r="I28" i="1"/>
  <c r="Q28" i="1"/>
  <c r="O28" i="1"/>
  <c r="M28" i="1"/>
  <c r="K28" i="1"/>
  <c r="C47" i="1"/>
  <c r="D41" i="1"/>
  <c r="F44" i="1"/>
  <c r="F47" i="1"/>
  <c r="G44" i="1"/>
  <c r="E47" i="1"/>
  <c r="G47" i="1"/>
  <c r="G41" i="1"/>
  <c r="G12" i="1"/>
  <c r="F41" i="1"/>
  <c r="G20" i="1"/>
  <c r="D20" i="1"/>
  <c r="C20" i="1"/>
  <c r="D12" i="1"/>
  <c r="D44" i="1"/>
  <c r="H12" i="1"/>
  <c r="I16" i="1"/>
  <c r="D17" i="1"/>
  <c r="F17" i="1"/>
  <c r="C17" i="1"/>
  <c r="H20" i="1"/>
  <c r="H41" i="1"/>
  <c r="C44" i="1"/>
  <c r="H44" i="1"/>
  <c r="H47" i="1"/>
  <c r="E12" i="1"/>
  <c r="E44" i="1"/>
  <c r="K12" i="2"/>
  <c r="G13" i="2" s="1"/>
  <c r="G33" i="1"/>
  <c r="G17" i="1"/>
  <c r="C28" i="1" l="1"/>
  <c r="C29" i="1" s="1"/>
  <c r="E17" i="1"/>
  <c r="E33" i="1"/>
  <c r="E54" i="1" s="1"/>
  <c r="H17" i="1"/>
  <c r="C13" i="2"/>
  <c r="K14" i="2" s="1"/>
  <c r="E5" i="1" s="1"/>
  <c r="F33" i="1"/>
  <c r="D33" i="1"/>
  <c r="H33" i="1"/>
  <c r="H54" i="1" s="1"/>
  <c r="G37" i="1"/>
  <c r="G34" i="1"/>
  <c r="G54" i="1"/>
  <c r="E34" i="1" l="1"/>
  <c r="E37" i="1"/>
  <c r="H34" i="1"/>
  <c r="F37" i="1"/>
  <c r="F54" i="1"/>
  <c r="D54" i="1"/>
  <c r="D34" i="1"/>
  <c r="D37" i="1"/>
  <c r="F34" i="1"/>
  <c r="H37" i="1"/>
  <c r="C37" i="1" l="1"/>
  <c r="C34" i="1"/>
  <c r="I46" i="1"/>
  <c r="I19" i="1" l="1"/>
  <c r="I25" i="1" l="1"/>
  <c r="I27" i="1" s="1"/>
  <c r="I31" i="1" l="1"/>
  <c r="I33" i="1"/>
  <c r="I36" i="1" s="1"/>
  <c r="I34" i="1" l="1"/>
  <c r="I54" i="1"/>
  <c r="I55" i="1" s="1"/>
  <c r="J46" i="1"/>
  <c r="J19" i="1"/>
  <c r="J25" i="1" s="1"/>
  <c r="J16" i="1"/>
  <c r="J27" i="1" l="1"/>
  <c r="J31" i="1" s="1"/>
  <c r="J33" i="1" l="1"/>
  <c r="J36" i="1" s="1"/>
  <c r="K16" i="1"/>
  <c r="K46" i="1"/>
  <c r="K19" i="1"/>
  <c r="K25" i="1" s="1"/>
  <c r="J34" i="1" l="1"/>
  <c r="K27" i="1"/>
  <c r="K31" i="1" s="1"/>
  <c r="J54" i="1"/>
  <c r="J55" i="1" s="1"/>
  <c r="L16" i="1"/>
  <c r="L19" i="1"/>
  <c r="L25" i="1" s="1"/>
  <c r="L46" i="1"/>
  <c r="L27" i="1" l="1"/>
  <c r="L31" i="1" s="1"/>
  <c r="K33" i="1"/>
  <c r="L33" i="1" l="1"/>
  <c r="L36" i="1" s="1"/>
  <c r="L54" i="1" s="1"/>
  <c r="L55" i="1" s="1"/>
  <c r="K36" i="1"/>
  <c r="K34" i="1"/>
  <c r="L34" i="1"/>
  <c r="M19" i="1"/>
  <c r="M25" i="1" s="1"/>
  <c r="M46" i="1"/>
  <c r="M16" i="1"/>
  <c r="M27" i="1" l="1"/>
  <c r="M31" i="1" s="1"/>
  <c r="K54" i="1"/>
  <c r="K55" i="1" s="1"/>
  <c r="M33" i="1" l="1"/>
  <c r="N19" i="1"/>
  <c r="N25" i="1" s="1"/>
  <c r="N46" i="1"/>
  <c r="N16" i="1"/>
  <c r="N27" i="1" l="1"/>
  <c r="N31" i="1" s="1"/>
  <c r="M34" i="1"/>
  <c r="M36" i="1"/>
  <c r="M54" i="1" l="1"/>
  <c r="M55" i="1" s="1"/>
  <c r="N33" i="1"/>
  <c r="N36" i="1" l="1"/>
  <c r="N34" i="1"/>
  <c r="N54" i="1" l="1"/>
  <c r="N55" i="1" s="1"/>
  <c r="O46" i="1"/>
  <c r="O19" i="1"/>
  <c r="O25" i="1" s="1"/>
  <c r="O16" i="1"/>
  <c r="O27" i="1" l="1"/>
  <c r="O31" i="1" s="1"/>
  <c r="O33" i="1" l="1"/>
  <c r="P19" i="1"/>
  <c r="P25" i="1" s="1"/>
  <c r="P46" i="1"/>
  <c r="P16" i="1"/>
  <c r="P27" i="1" l="1"/>
  <c r="P31" i="1" s="1"/>
  <c r="O34" i="1"/>
  <c r="O36" i="1"/>
  <c r="O54" i="1" l="1"/>
  <c r="O55" i="1" s="1"/>
  <c r="P33" i="1"/>
  <c r="P34" i="1" l="1"/>
  <c r="P36" i="1"/>
  <c r="Q16" i="1"/>
  <c r="Q19" i="1"/>
  <c r="Q25" i="1" s="1"/>
  <c r="Q46" i="1"/>
  <c r="Q27" i="1" l="1"/>
  <c r="Q31" i="1" s="1"/>
  <c r="P54" i="1"/>
  <c r="P55" i="1" s="1"/>
  <c r="R19" i="1"/>
  <c r="R25" i="1" s="1"/>
  <c r="Q33" i="1" l="1"/>
  <c r="R16" i="1"/>
  <c r="R46" i="1"/>
  <c r="R27" i="1" l="1"/>
  <c r="R31" i="1" s="1"/>
  <c r="Q34" i="1"/>
  <c r="Q36" i="1"/>
  <c r="Q54" i="1" l="1"/>
  <c r="Q55" i="1" s="1"/>
  <c r="R33" i="1"/>
  <c r="R36" i="1" s="1"/>
  <c r="R34" i="1" l="1"/>
  <c r="R54" i="1"/>
  <c r="C57" i="1" s="1"/>
  <c r="C58" i="1" s="1"/>
  <c r="S51" i="1"/>
  <c r="R55" i="1" l="1"/>
  <c r="T51" i="1"/>
  <c r="U51" i="1" s="1"/>
  <c r="V51" i="1" s="1"/>
  <c r="W51" i="1" s="1"/>
  <c r="X51" i="1" s="1"/>
  <c r="Y51" i="1" s="1"/>
  <c r="Z51" i="1" s="1"/>
  <c r="AA51" i="1" s="1"/>
  <c r="AB51" i="1" s="1"/>
  <c r="AC51" i="1" s="1"/>
  <c r="AD51" i="1" s="1"/>
  <c r="AE51" i="1" s="1"/>
  <c r="AF51" i="1" s="1"/>
  <c r="AG51" i="1" s="1"/>
  <c r="AH51" i="1" s="1"/>
  <c r="AI51" i="1" s="1"/>
  <c r="AJ51" i="1" s="1"/>
  <c r="AK51" i="1" s="1"/>
  <c r="AL51" i="1" s="1"/>
  <c r="AM51" i="1" s="1"/>
  <c r="AN51" i="1" s="1"/>
  <c r="AO51" i="1" s="1"/>
  <c r="AP51" i="1" s="1"/>
  <c r="AQ51" i="1" s="1"/>
  <c r="AR51" i="1" s="1"/>
  <c r="AS51" i="1" s="1"/>
  <c r="AT51" i="1" s="1"/>
  <c r="AU51" i="1" s="1"/>
  <c r="AV51" i="1" s="1"/>
  <c r="AW51" i="1" s="1"/>
  <c r="AX51" i="1" s="1"/>
  <c r="AY51" i="1" s="1"/>
  <c r="AZ51" i="1" s="1"/>
  <c r="BA51" i="1" s="1"/>
  <c r="BB51" i="1" s="1"/>
  <c r="BC51" i="1" s="1"/>
  <c r="BD51" i="1" s="1"/>
  <c r="BE51" i="1" s="1"/>
  <c r="BF51" i="1" s="1"/>
  <c r="BG51" i="1" s="1"/>
  <c r="BH51" i="1" s="1"/>
  <c r="BI51" i="1" s="1"/>
  <c r="BJ51" i="1" s="1"/>
  <c r="BK51" i="1" s="1"/>
  <c r="BL51" i="1" s="1"/>
  <c r="BM51" i="1" s="1"/>
  <c r="BN51" i="1" s="1"/>
  <c r="BO51" i="1" s="1"/>
  <c r="BP51" i="1" s="1"/>
  <c r="BQ51" i="1" s="1"/>
  <c r="BR51" i="1" s="1"/>
  <c r="BS51" i="1" s="1"/>
  <c r="BT51" i="1" s="1"/>
  <c r="BU51" i="1" s="1"/>
  <c r="BV51" i="1" s="1"/>
  <c r="BW51" i="1" s="1"/>
  <c r="BX51" i="1" s="1"/>
  <c r="BY51" i="1" s="1"/>
  <c r="BZ51" i="1" s="1"/>
  <c r="CA51" i="1" s="1"/>
  <c r="CB51" i="1" s="1"/>
  <c r="CC51" i="1" s="1"/>
  <c r="CD51" i="1" s="1"/>
  <c r="CE51" i="1" s="1"/>
  <c r="CF51" i="1" s="1"/>
  <c r="CG51" i="1" s="1"/>
  <c r="CH51" i="1" s="1"/>
  <c r="G60" i="1"/>
  <c r="G62" i="1" s="1"/>
  <c r="G65" i="1" s="1"/>
  <c r="F57" i="1" l="1"/>
  <c r="H60" i="1" s="1"/>
  <c r="H62" i="1" s="1"/>
  <c r="H65" i="1" s="1"/>
  <c r="E65" i="1" s="1"/>
  <c r="L59" i="1" s="1"/>
  <c r="J6" i="1" l="1"/>
  <c r="N5" i="1" s="1"/>
</calcChain>
</file>

<file path=xl/sharedStrings.xml><?xml version="1.0" encoding="utf-8"?>
<sst xmlns="http://schemas.openxmlformats.org/spreadsheetml/2006/main" count="260" uniqueCount="183">
  <si>
    <t xml:space="preserve">Valuation Assumptions: </t>
  </si>
  <si>
    <t>WACC</t>
  </si>
  <si>
    <t>Current price   :</t>
  </si>
  <si>
    <t xml:space="preserve">Upside/Downside : </t>
  </si>
  <si>
    <t>Terminal rate</t>
  </si>
  <si>
    <t xml:space="preserve">Implied price   : </t>
  </si>
  <si>
    <t>Income Statement</t>
  </si>
  <si>
    <t>Revenue</t>
  </si>
  <si>
    <t>% growth</t>
  </si>
  <si>
    <t>COGS</t>
  </si>
  <si>
    <t>Gross Profit</t>
  </si>
  <si>
    <t>% Gross Margin</t>
  </si>
  <si>
    <t>Opex</t>
  </si>
  <si>
    <t>Operating income</t>
  </si>
  <si>
    <t>Pre-tax income</t>
  </si>
  <si>
    <t>EBIT</t>
  </si>
  <si>
    <t>% Revenue</t>
  </si>
  <si>
    <t>Taxes</t>
  </si>
  <si>
    <t>% EBIT</t>
  </si>
  <si>
    <t>Cash Flow Statement</t>
  </si>
  <si>
    <t>D&amp;A</t>
  </si>
  <si>
    <t>CapEx</t>
  </si>
  <si>
    <t>change NWC</t>
  </si>
  <si>
    <t>EBIAT</t>
  </si>
  <si>
    <t>Net income</t>
  </si>
  <si>
    <t>FCF</t>
  </si>
  <si>
    <t>Present value FCF</t>
  </si>
  <si>
    <t>TV</t>
  </si>
  <si>
    <t>DNI</t>
  </si>
  <si>
    <t>PV of TV</t>
  </si>
  <si>
    <t>Enterprise Value</t>
  </si>
  <si>
    <t>DCF</t>
  </si>
  <si>
    <t>Cash</t>
  </si>
  <si>
    <t>Debt</t>
  </si>
  <si>
    <t>Equity Value</t>
  </si>
  <si>
    <t>Shares</t>
  </si>
  <si>
    <t xml:space="preserve">Current market cap </t>
  </si>
  <si>
    <t>Share Price</t>
  </si>
  <si>
    <t>Mean:</t>
  </si>
  <si>
    <t>SG&amp;A</t>
  </si>
  <si>
    <t xml:space="preserve">Assumpions: </t>
  </si>
  <si>
    <t>Tax Rate</t>
  </si>
  <si>
    <t>Risk Free Rate</t>
  </si>
  <si>
    <t>Beta</t>
  </si>
  <si>
    <t>Market Risk Premium</t>
  </si>
  <si>
    <t>D+E</t>
  </si>
  <si>
    <t>% Equity</t>
  </si>
  <si>
    <t>% Debt</t>
  </si>
  <si>
    <t>Cost of Equity</t>
  </si>
  <si>
    <t>Cost of Debt</t>
  </si>
  <si>
    <t>NCI</t>
  </si>
  <si>
    <t/>
  </si>
  <si>
    <t>Depreciation and amortization</t>
  </si>
  <si>
    <t>Diluted</t>
  </si>
  <si>
    <t>Basic</t>
  </si>
  <si>
    <t>CONSOLIDATED STATEMENTS OF CASH FLOWS</t>
  </si>
  <si>
    <t>Deferred income taxes</t>
  </si>
  <si>
    <t>year</t>
  </si>
  <si>
    <t>Other income, net</t>
  </si>
  <si>
    <t>noncontrolling interests</t>
  </si>
  <si>
    <t>Other</t>
  </si>
  <si>
    <t>liabilities</t>
  </si>
  <si>
    <t>net</t>
  </si>
  <si>
    <t>Other income</t>
  </si>
  <si>
    <t>Terminal Growth Rate</t>
  </si>
  <si>
    <t>CONSOLIDATED STATEMENTS OF EARNINGS</t>
  </si>
  <si>
    <t>Year Ended June 30</t>
  </si>
  <si>
    <t>(In millions, except per share data)</t>
  </si>
  <si>
    <t>Net sales</t>
  </si>
  <si>
    <t>Cost of sales</t>
  </si>
  <si>
    <t>Gross profit</t>
  </si>
  <si>
    <t>Operating expenses</t>
  </si>
  <si>
    <t>Selling, general and administrative</t>
  </si>
  <si>
    <t>Restructuring and other charges</t>
  </si>
  <si>
    <t>Goodwill impairment</t>
  </si>
  <si>
    <t>Impairment of other intangible and long-lived assets</t>
  </si>
  <si>
    <t>Total operating expenses</t>
  </si>
  <si>
    <t>Interest expense</t>
  </si>
  <si>
    <t>Interest income and investment income, net</t>
  </si>
  <si>
    <t>Other components of net periodic benefit cost</t>
  </si>
  <si>
    <t>Earnings before income taxes</t>
  </si>
  <si>
    <t>Provision for income taxes</t>
  </si>
  <si>
    <t>Net earnings</t>
  </si>
  <si>
    <t>Net earnings attributable to noncontrolling interests</t>
  </si>
  <si>
    <t>Net loss (earnings) attributable to redeemable</t>
  </si>
  <si>
    <t>noncontrolling interest</t>
  </si>
  <si>
    <t>Net earnings attributable to The Estée Lauder Companies Inc.</t>
  </si>
  <si>
    <t>per common share</t>
  </si>
  <si>
    <t>Weighted-average common shares outstanding</t>
  </si>
  <si>
    <t>(In millions)</t>
  </si>
  <si>
    <t>Cash flows from operating activities</t>
  </si>
  <si>
    <t>Adjustments to reconcile net earnings to net cash flows</t>
  </si>
  <si>
    <t>from operating activities:</t>
  </si>
  <si>
    <t>Non-cash stock-based compensation</t>
  </si>
  <si>
    <t>Net loss on disposal of property, plant and equipment</t>
  </si>
  <si>
    <t>Non-cash restructuring and other charges</t>
  </si>
  <si>
    <t>Pension and post-retirement benefit expense</t>
  </si>
  <si>
    <t>Pension and post-retirement benefit contributions</t>
  </si>
  <si>
    <t>Goodwill, other intangible and long-lived asset impairments</t>
  </si>
  <si>
    <t>Changes in fair value of contingent consideration</t>
  </si>
  <si>
    <t>Gain on previously held equity method investment</t>
  </si>
  <si>
    <t>Other non-cash items</t>
  </si>
  <si>
    <t>Changes in operating assets and liabilities:</t>
  </si>
  <si>
    <t>Decrease (increase) in accounts receivable, net</t>
  </si>
  <si>
    <t>Increase in inventory and promotional merchandise</t>
  </si>
  <si>
    <t>Decrease (increase) in other assets, net</t>
  </si>
  <si>
    <t>Increase (decrease) in accounts payable</t>
  </si>
  <si>
    <t>Increase (decrease) in other accrued and noncurrent</t>
  </si>
  <si>
    <t>Increase (decrease) in operating lease assets and</t>
  </si>
  <si>
    <t>liabilities, net</t>
  </si>
  <si>
    <t>Net cash flows provided by operating activities</t>
  </si>
  <si>
    <t>Cash flows from investing activities</t>
  </si>
  <si>
    <t>Capital expenditures</t>
  </si>
  <si>
    <t>Proceeds from purchase price refund</t>
  </si>
  <si>
    <t>Payments for acquired businesses, net of cash acquired</t>
  </si>
  <si>
    <t>Purchases of investments</t>
  </si>
  <si>
    <t>Settlement of net investment hedges</t>
  </si>
  <si>
    <t>Net cash flows used for investing activities</t>
  </si>
  <si>
    <t>Cash flows from financing activities</t>
  </si>
  <si>
    <t>Proceeds (repayments) of current debt, net</t>
  </si>
  <si>
    <t>Proceeds from issuance of long-term debt, net</t>
  </si>
  <si>
    <t>Debt issuance costs</t>
  </si>
  <si>
    <t>Repayments and redemptions of long-term debt</t>
  </si>
  <si>
    <t>Net proceeds from stock-based compensation transactions</t>
  </si>
  <si>
    <t>Payment for acquisition of noncontrolling interest</t>
  </si>
  <si>
    <t>Payments to acquire treasury stock</t>
  </si>
  <si>
    <t>Dividends paid to stockholders</t>
  </si>
  <si>
    <t>Payments to noncontrolling interest holders for dividends</t>
  </si>
  <si>
    <t>Payments of contingent consideration</t>
  </si>
  <si>
    <t>Net cash flows provided by (used for) financing activities</t>
  </si>
  <si>
    <t>Effect of exchange rate changes on Cash and cash</t>
  </si>
  <si>
    <t>equivalents</t>
  </si>
  <si>
    <t>Net increase (decrease) in Cash and cash equivalents</t>
  </si>
  <si>
    <t>Cash and cash equivalents at beginning of year</t>
  </si>
  <si>
    <t>Cash and cash equivalents at end of year</t>
  </si>
  <si>
    <t>Impairment of other intangible assets</t>
  </si>
  <si>
    <t>Interest income and investment income,</t>
  </si>
  <si>
    <t>Other components of net periodic benefit</t>
  </si>
  <si>
    <t>cost</t>
  </si>
  <si>
    <t>Net earnings attributable to</t>
  </si>
  <si>
    <t>Net earnings attributable to The Estée</t>
  </si>
  <si>
    <t>Lauder Companies Inc.</t>
  </si>
  <si>
    <t>Lauder Companies Inc. per common share</t>
  </si>
  <si>
    <t>Weighted-average common shares</t>
  </si>
  <si>
    <t>outstanding</t>
  </si>
  <si>
    <t>Adjustments to reconcile net earnings to net</t>
  </si>
  <si>
    <t>cash flows from operating activities:</t>
  </si>
  <si>
    <t>Excess tax benefits from stock-based</t>
  </si>
  <si>
    <t>compensation arrangements</t>
  </si>
  <si>
    <t>Net loss on disposal of property, plant and</t>
  </si>
  <si>
    <t>equipment</t>
  </si>
  <si>
    <t>Pension and post-retirement benefit</t>
  </si>
  <si>
    <t>contributions</t>
  </si>
  <si>
    <t>Goodwill and other intangible asset</t>
  </si>
  <si>
    <t>impairments</t>
  </si>
  <si>
    <t>Changes in fair value of contingent</t>
  </si>
  <si>
    <t>consideration</t>
  </si>
  <si>
    <t>Gain on liquidation of an investment in a</t>
  </si>
  <si>
    <t>foreign subsidiary, net</t>
  </si>
  <si>
    <t>Increase in accounts receivable, net</t>
  </si>
  <si>
    <t>Increase in inventory and promotional</t>
  </si>
  <si>
    <t>merchandise, net</t>
  </si>
  <si>
    <t>Increase in accounts payable</t>
  </si>
  <si>
    <t>Increase in other accrued and noncurrent</t>
  </si>
  <si>
    <t>Net cash flows provided by operating</t>
  </si>
  <si>
    <t>activities</t>
  </si>
  <si>
    <t>Payments for acquired businesses, net of cash</t>
  </si>
  <si>
    <t>acquired</t>
  </si>
  <si>
    <t>Proceeds from the disposition of investments</t>
  </si>
  <si>
    <t>Proceeds from sale of property, plant and</t>
  </si>
  <si>
    <t>Net cash flows provided by (used for)</t>
  </si>
  <si>
    <t>investing activities</t>
  </si>
  <si>
    <t>Net proceeds from stock-based compensation</t>
  </si>
  <si>
    <t>transactions</t>
  </si>
  <si>
    <t>Payments to noncontrolling interest holders</t>
  </si>
  <si>
    <t>for dividends</t>
  </si>
  <si>
    <t>financing activities</t>
  </si>
  <si>
    <t>Effect of exchange rate changes on Cash and</t>
  </si>
  <si>
    <t>cash equivalents</t>
  </si>
  <si>
    <t>Net increase in Cash and cash equivalents</t>
  </si>
  <si>
    <t>Cash and cash equivalents at beginning of</t>
  </si>
  <si>
    <t>Update: 13/06/2023</t>
  </si>
  <si>
    <t>The Estée Lauder Companies Inc. DCF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</si>
</sst>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%"/>
    <numFmt numFmtId="165" formatCode="_(&quot;$&quot;* #,##0_);_(&quot;$&quot;* \(#,##0\);_(&quot;$&quot;* &quot;-&quot;_);_(@_)"/>
    <numFmt numFmtId="166" formatCode="_(&quot;$&quot;* #,##0.00_);_(&quot;$&quot;* \(#,##0.00\);_(&quot;$&quot;* &quot;-&quot;??_);_(@_)"/>
    <numFmt numFmtId="167" formatCode="_(* #,##0.00_);_(* \(#,##0.00\);_(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8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1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theme="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theme="1"/>
      </right>
      <top/>
      <bottom/>
      <diagonal/>
    </border>
    <border>
      <left/>
      <right/>
      <top style="thin">
        <color theme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7">
    <xf numFmtId="0" fontId="0" fillId="0" borderId="0" xfId="0"/>
    <xf numFmtId="0" fontId="3" fillId="2" borderId="0" xfId="0" applyFont="1" applyFill="1"/>
    <xf numFmtId="0" fontId="0" fillId="2" borderId="0" xfId="0" applyFill="1"/>
    <xf numFmtId="0" fontId="3" fillId="2" borderId="1" xfId="0" applyFont="1" applyFill="1" applyBorder="1"/>
    <xf numFmtId="0" fontId="4" fillId="2" borderId="1" xfId="0" applyFont="1" applyFill="1" applyBorder="1"/>
    <xf numFmtId="0" fontId="5" fillId="2" borderId="0" xfId="0" applyFont="1" applyFill="1"/>
    <xf numFmtId="0" fontId="6" fillId="2" borderId="0" xfId="0" applyFont="1" applyFill="1"/>
    <xf numFmtId="0" fontId="3" fillId="2" borderId="0" xfId="0" applyFont="1" applyFill="1" applyAlignment="1">
      <alignment horizontal="left"/>
    </xf>
    <xf numFmtId="164" fontId="3" fillId="2" borderId="0" xfId="0" applyNumberFormat="1" applyFont="1" applyFill="1" applyAlignment="1">
      <alignment horizontal="center"/>
    </xf>
    <xf numFmtId="0" fontId="6" fillId="3" borderId="0" xfId="0" applyFont="1" applyFill="1"/>
    <xf numFmtId="0" fontId="6" fillId="4" borderId="0" xfId="0" applyFont="1" applyFill="1"/>
    <xf numFmtId="3" fontId="3" fillId="2" borderId="0" xfId="0" applyNumberFormat="1" applyFont="1" applyFill="1"/>
    <xf numFmtId="0" fontId="3" fillId="2" borderId="3" xfId="0" applyFont="1" applyFill="1" applyBorder="1"/>
    <xf numFmtId="0" fontId="7" fillId="2" borderId="0" xfId="0" applyFont="1" applyFill="1"/>
    <xf numFmtId="164" fontId="7" fillId="2" borderId="0" xfId="1" applyNumberFormat="1" applyFont="1" applyFill="1"/>
    <xf numFmtId="0" fontId="3" fillId="2" borderId="2" xfId="0" applyFont="1" applyFill="1" applyBorder="1"/>
    <xf numFmtId="0" fontId="3" fillId="2" borderId="4" xfId="0" applyFont="1" applyFill="1" applyBorder="1"/>
    <xf numFmtId="0" fontId="3" fillId="2" borderId="5" xfId="0" applyFont="1" applyFill="1" applyBorder="1"/>
    <xf numFmtId="1" fontId="3" fillId="2" borderId="0" xfId="0" applyNumberFormat="1" applyFont="1" applyFill="1"/>
    <xf numFmtId="164" fontId="7" fillId="2" borderId="3" xfId="1" applyNumberFormat="1" applyFont="1" applyFill="1" applyBorder="1"/>
    <xf numFmtId="1" fontId="3" fillId="2" borderId="3" xfId="0" applyNumberFormat="1" applyFont="1" applyFill="1" applyBorder="1"/>
    <xf numFmtId="10" fontId="3" fillId="2" borderId="0" xfId="1" applyNumberFormat="1" applyFont="1" applyFill="1"/>
    <xf numFmtId="0" fontId="0" fillId="2" borderId="3" xfId="0" applyFill="1" applyBorder="1"/>
    <xf numFmtId="3" fontId="0" fillId="2" borderId="0" xfId="0" applyNumberFormat="1" applyFill="1"/>
    <xf numFmtId="0" fontId="3" fillId="4" borderId="0" xfId="0" applyFont="1" applyFill="1"/>
    <xf numFmtId="0" fontId="3" fillId="2" borderId="7" xfId="0" applyFont="1" applyFill="1" applyBorder="1"/>
    <xf numFmtId="1" fontId="0" fillId="2" borderId="0" xfId="0" applyNumberFormat="1" applyFill="1"/>
    <xf numFmtId="1" fontId="0" fillId="2" borderId="4" xfId="0" applyNumberFormat="1" applyFill="1" applyBorder="1"/>
    <xf numFmtId="0" fontId="0" fillId="5" borderId="0" xfId="0" applyFill="1"/>
    <xf numFmtId="0" fontId="3" fillId="2" borderId="0" xfId="0" quotePrefix="1" applyFont="1" applyFill="1"/>
    <xf numFmtId="0" fontId="3" fillId="2" borderId="1" xfId="0" quotePrefix="1" applyFont="1" applyFill="1" applyBorder="1"/>
    <xf numFmtId="3" fontId="6" fillId="2" borderId="0" xfId="0" applyNumberFormat="1" applyFont="1" applyFill="1"/>
    <xf numFmtId="3" fontId="2" fillId="2" borderId="0" xfId="0" applyNumberFormat="1" applyFont="1" applyFill="1"/>
    <xf numFmtId="0" fontId="0" fillId="2" borderId="6" xfId="0" applyFill="1" applyBorder="1"/>
    <xf numFmtId="0" fontId="3" fillId="2" borderId="8" xfId="0" applyFont="1" applyFill="1" applyBorder="1"/>
    <xf numFmtId="2" fontId="6" fillId="2" borderId="0" xfId="0" applyNumberFormat="1" applyFont="1" applyFill="1"/>
    <xf numFmtId="2" fontId="2" fillId="2" borderId="0" xfId="0" applyNumberFormat="1" applyFont="1" applyFill="1"/>
    <xf numFmtId="3" fontId="0" fillId="0" borderId="0" xfId="0" applyNumberFormat="1"/>
    <xf numFmtId="3" fontId="3" fillId="2" borderId="3" xfId="0" applyNumberFormat="1" applyFont="1" applyFill="1" applyBorder="1"/>
    <xf numFmtId="0" fontId="8" fillId="2" borderId="0" xfId="0" applyFont="1" applyFill="1"/>
    <xf numFmtId="0" fontId="0" fillId="2" borderId="1" xfId="0" applyFill="1" applyBorder="1"/>
    <xf numFmtId="0" fontId="0" fillId="2" borderId="5" xfId="0" applyFill="1" applyBorder="1"/>
    <xf numFmtId="0" fontId="0" fillId="6" borderId="0" xfId="0" applyFill="1"/>
    <xf numFmtId="164" fontId="0" fillId="7" borderId="0" xfId="0" applyNumberFormat="1" applyFill="1" applyAlignment="1">
      <alignment horizontal="right"/>
    </xf>
    <xf numFmtId="0" fontId="0" fillId="7" borderId="0" xfId="0" applyFill="1" applyAlignment="1">
      <alignment horizontal="right"/>
    </xf>
    <xf numFmtId="9" fontId="0" fillId="2" borderId="0" xfId="1" applyFont="1" applyFill="1"/>
    <xf numFmtId="164" fontId="0" fillId="2" borderId="0" xfId="0" applyNumberFormat="1" applyFill="1" applyAlignment="1">
      <alignment horizontal="right"/>
    </xf>
    <xf numFmtId="164" fontId="0" fillId="2" borderId="0" xfId="0" applyNumberFormat="1" applyFill="1"/>
    <xf numFmtId="0" fontId="2" fillId="2" borderId="9" xfId="0" applyFont="1" applyFill="1" applyBorder="1"/>
    <xf numFmtId="0" fontId="0" fillId="2" borderId="10" xfId="0" applyFill="1" applyBorder="1"/>
    <xf numFmtId="10" fontId="2" fillId="2" borderId="11" xfId="0" applyNumberFormat="1" applyFont="1" applyFill="1" applyBorder="1"/>
    <xf numFmtId="0" fontId="0" fillId="8" borderId="0" xfId="0" applyFill="1"/>
    <xf numFmtId="1" fontId="3" fillId="8" borderId="0" xfId="0" applyNumberFormat="1" applyFont="1" applyFill="1"/>
    <xf numFmtId="0" fontId="3" fillId="9" borderId="0" xfId="0" applyFont="1" applyFill="1"/>
    <xf numFmtId="0" fontId="3" fillId="9" borderId="0" xfId="0" applyFont="1" applyFill="1" applyAlignment="1">
      <alignment horizontal="center"/>
    </xf>
    <xf numFmtId="164" fontId="0" fillId="8" borderId="0" xfId="0" applyNumberFormat="1" applyFill="1" applyAlignment="1">
      <alignment horizontal="left"/>
    </xf>
    <xf numFmtId="164" fontId="0" fillId="8" borderId="0" xfId="1" applyNumberFormat="1" applyFont="1" applyFill="1" applyAlignment="1">
      <alignment horizontal="left"/>
    </xf>
    <xf numFmtId="2" fontId="3" fillId="2" borderId="0" xfId="0" applyNumberFormat="1" applyFont="1" applyFill="1" applyAlignment="1">
      <alignment horizontal="left"/>
    </xf>
    <xf numFmtId="2" fontId="3" fillId="2" borderId="0" xfId="0" applyNumberFormat="1" applyFont="1" applyFill="1"/>
    <xf numFmtId="2" fontId="0" fillId="2" borderId="0" xfId="0" applyNumberFormat="1" applyFill="1" applyAlignment="1">
      <alignment horizontal="center"/>
    </xf>
    <xf numFmtId="2" fontId="0" fillId="3" borderId="0" xfId="0" applyNumberFormat="1" applyFill="1" applyAlignment="1">
      <alignment horizontal="center"/>
    </xf>
    <xf numFmtId="2" fontId="9" fillId="10" borderId="0" xfId="0" applyNumberFormat="1" applyFont="1" applyFill="1" applyAlignment="1">
      <alignment horizontal="center"/>
    </xf>
    <xf numFmtId="1" fontId="3" fillId="2" borderId="5" xfId="0" applyNumberFormat="1" applyFont="1" applyFill="1" applyBorder="1"/>
    <xf numFmtId="0" fontId="6" fillId="4" borderId="3" xfId="0" applyFont="1" applyFill="1" applyBorder="1"/>
    <xf numFmtId="0" fontId="6" fillId="3" borderId="3" xfId="0" applyFont="1" applyFill="1" applyBorder="1"/>
    <xf numFmtId="0" fontId="10" fillId="0" borderId="0" xfId="0" applyFont="1" applyAlignment="1">
      <alignment vertical="top"/>
    </xf>
    <xf numFmtId="0" fontId="0" fillId="0" borderId="0" xfId="0" applyAlignment="1">
      <alignment vertical="top"/>
    </xf>
    <xf numFmtId="165" fontId="10" fillId="0" borderId="0" xfId="0" applyNumberFormat="1" applyFont="1" applyAlignment="1">
      <alignment vertical="top"/>
    </xf>
    <xf numFmtId="37" fontId="10" fillId="0" borderId="0" xfId="0" applyNumberFormat="1" applyFont="1" applyAlignment="1">
      <alignment vertical="top"/>
    </xf>
    <xf numFmtId="166" fontId="10" fillId="0" borderId="0" xfId="0" applyNumberFormat="1" applyFont="1" applyAlignment="1">
      <alignment vertical="top"/>
    </xf>
    <xf numFmtId="39" fontId="10" fillId="0" borderId="0" xfId="0" applyNumberFormat="1" applyFont="1" applyAlignment="1">
      <alignment vertical="top"/>
    </xf>
    <xf numFmtId="167" fontId="10" fillId="0" borderId="0" xfId="0" applyNumberFormat="1" applyFont="1" applyAlignment="1">
      <alignment vertical="top"/>
    </xf>
    <xf numFmtId="0" fontId="3" fillId="2" borderId="0" xfId="1" applyNumberFormat="1" applyFont="1" applyFill="1"/>
    <xf numFmtId="37" fontId="3" fillId="2" borderId="0" xfId="0" applyNumberFormat="1" applyFont="1" applyFill="1"/>
    <xf numFmtId="164" fontId="7" fillId="2" borderId="0" xfId="1" applyNumberFormat="1" applyFont="1" applyFill="1" applyBorder="1"/>
    <xf numFmtId="1" fontId="3" fillId="2" borderId="12" xfId="0" applyNumberFormat="1" applyFont="1" applyFill="1" applyBorder="1"/>
    <xf numFmtId="1" fontId="3" fillId="2" borderId="1" xfId="0" applyNumberFormat="1" applyFont="1" applyFill="1" applyBorder="1"/>
    <xf numFmtId="0" fontId="3" fillId="2" borderId="13" xfId="0" applyFont="1" applyFill="1" applyBorder="1"/>
    <xf numFmtId="0" fontId="7" fillId="11" borderId="0" xfId="0" applyFont="1" applyFill="1"/>
    <xf numFmtId="164" fontId="7" fillId="11" borderId="0" xfId="1" applyNumberFormat="1" applyFont="1" applyFill="1"/>
    <xf numFmtId="164" fontId="7" fillId="11" borderId="3" xfId="1" applyNumberFormat="1" applyFont="1" applyFill="1" applyBorder="1"/>
    <xf numFmtId="164" fontId="7" fillId="11" borderId="0" xfId="1" applyNumberFormat="1" applyFont="1" applyFill="1" applyBorder="1"/>
    <xf numFmtId="164" fontId="3" fillId="11" borderId="0" xfId="1" applyNumberFormat="1" applyFont="1" applyFill="1"/>
    <xf numFmtId="164" fontId="7" fillId="11" borderId="3" xfId="0" applyNumberFormat="1" applyFont="1" applyFill="1" applyBorder="1"/>
    <xf numFmtId="164" fontId="0" fillId="8" borderId="0" xfId="0" applyNumberFormat="1" applyFill="1" applyAlignment="1">
      <alignment horizontal="center"/>
    </xf>
    <xf numFmtId="0" fontId="3" fillId="9" borderId="0" xfId="0" applyFont="1" applyFill="1" applyAlignment="1">
      <alignment horizontal="center"/>
    </xf>
    <xf numFmtId="0" fontId="10" fillId="0" borderId="0" xfId="0" applyFont="1" applyAlignment="1">
      <alignment horizontal="center" vertical="top" shrinkToFit="1"/>
    </xf>
    <xf numFmtId="0" fontId="10" fillId="0" borderId="0" xfId="0" applyFont="1" applyAlignment="1">
      <alignment vertical="top"/>
    </xf>
    <xf numFmtId="3" fontId="3" fillId="2" borderId="0" xfId="1" applyNumberFormat="1" applyFont="1" applyFill="1"/>
    <xf numFmtId="3" fontId="0" fillId="0" borderId="1" xfId="0" applyNumberFormat="1" applyBorder="1"/>
    <xf numFmtId="1" fontId="3" fillId="2" borderId="0" xfId="0" applyNumberFormat="1" applyFont="1" applyFill="1" applyBorder="1"/>
    <xf numFmtId="0" fontId="6" fillId="4" borderId="0" xfId="0" applyFont="1" applyFill="1" applyBorder="1"/>
    <xf numFmtId="0" fontId="3" fillId="2" borderId="0" xfId="0" applyFont="1" applyFill="1" applyBorder="1"/>
    <xf numFmtId="10" fontId="3" fillId="2" borderId="0" xfId="0" applyNumberFormat="1" applyFont="1" applyFill="1" applyBorder="1"/>
    <xf numFmtId="164" fontId="7" fillId="11" borderId="0" xfId="0" applyNumberFormat="1" applyFont="1" applyFill="1" applyBorder="1"/>
    <xf numFmtId="3" fontId="3" fillId="2" borderId="0" xfId="0" applyNumberFormat="1" applyFont="1" applyFill="1" applyBorder="1"/>
    <xf numFmtId="0" fontId="6" fillId="3" borderId="0" xfId="0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84064-8197-4774-A1FA-A1F3B33925A7}">
  <dimension ref="A1:CH66"/>
  <sheetViews>
    <sheetView tabSelected="1" zoomScaleNormal="100" workbookViewId="0">
      <selection activeCell="C9" sqref="C9"/>
    </sheetView>
  </sheetViews>
  <sheetFormatPr defaultRowHeight="15" x14ac:dyDescent="0.25"/>
  <cols>
    <col min="1" max="1" width="9.140625" style="2"/>
    <col min="2" max="2" width="17.28515625" style="2" customWidth="1"/>
    <col min="3" max="3" width="9.85546875" style="2" bestFit="1" customWidth="1"/>
    <col min="4" max="5" width="9.140625" style="2"/>
    <col min="6" max="6" width="11.85546875" style="2" bestFit="1" customWidth="1"/>
    <col min="7" max="7" width="10.140625" style="2" bestFit="1" customWidth="1"/>
    <col min="8" max="8" width="11.140625" style="2" bestFit="1" customWidth="1"/>
    <col min="9" max="9" width="8.42578125" style="2" customWidth="1"/>
    <col min="10" max="10" width="10.5703125" style="2" bestFit="1" customWidth="1"/>
    <col min="11" max="11" width="9.42578125" style="2" customWidth="1"/>
    <col min="12" max="12" width="10.5703125" style="2" bestFit="1" customWidth="1"/>
    <col min="13" max="15" width="11.5703125" style="2" bestFit="1" customWidth="1"/>
    <col min="16" max="17" width="12.5703125" style="2" bestFit="1" customWidth="1"/>
    <col min="18" max="18" width="10.5703125" style="2" bestFit="1" customWidth="1"/>
    <col min="19" max="16384" width="9.140625" style="2"/>
  </cols>
  <sheetData>
    <row r="1" spans="1:18" s="51" customForma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</row>
    <row r="2" spans="1:18" s="51" customFormat="1" ht="23.25" x14ac:dyDescent="0.35">
      <c r="A2" s="3"/>
      <c r="B2" s="4" t="s">
        <v>182</v>
      </c>
      <c r="C2" s="3"/>
      <c r="D2" s="3"/>
      <c r="E2" s="3"/>
      <c r="F2" s="4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40"/>
    </row>
    <row r="3" spans="1:18" s="51" customFormat="1" ht="21" x14ac:dyDescent="0.35">
      <c r="A3" s="1"/>
      <c r="B3" s="5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2"/>
    </row>
    <row r="4" spans="1:18" s="51" customFormat="1" x14ac:dyDescent="0.25">
      <c r="A4" s="1"/>
      <c r="B4" s="6" t="s">
        <v>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2"/>
    </row>
    <row r="5" spans="1:18" s="51" customFormat="1" x14ac:dyDescent="0.25">
      <c r="A5" s="1"/>
      <c r="B5" s="1"/>
      <c r="C5" s="7" t="s">
        <v>1</v>
      </c>
      <c r="D5" s="1"/>
      <c r="E5" s="8">
        <f>WACC!K14</f>
        <v>9.2630156858017398E-2</v>
      </c>
      <c r="F5" s="2"/>
      <c r="G5" s="1"/>
      <c r="H5" s="1" t="s">
        <v>2</v>
      </c>
      <c r="I5" s="1"/>
      <c r="J5" s="7">
        <v>179.63</v>
      </c>
      <c r="K5" s="1"/>
      <c r="L5" s="1" t="s">
        <v>3</v>
      </c>
      <c r="M5" s="1"/>
      <c r="N5" s="7">
        <f>(J6/J5)-1</f>
        <v>-1.5099996353628575E-2</v>
      </c>
      <c r="O5" s="1"/>
      <c r="P5" s="1" t="s">
        <v>181</v>
      </c>
      <c r="Q5" s="1"/>
      <c r="R5" s="2"/>
    </row>
    <row r="6" spans="1:18" s="51" customFormat="1" x14ac:dyDescent="0.25">
      <c r="A6" s="1"/>
      <c r="B6" s="1"/>
      <c r="C6" s="7" t="s">
        <v>4</v>
      </c>
      <c r="D6" s="1"/>
      <c r="E6" s="8">
        <v>0.04</v>
      </c>
      <c r="F6" s="2"/>
      <c r="G6" s="1"/>
      <c r="H6" s="1" t="s">
        <v>5</v>
      </c>
      <c r="I6" s="1"/>
      <c r="J6" s="57">
        <f>E65</f>
        <v>176.9175876549977</v>
      </c>
      <c r="K6" s="1"/>
      <c r="L6" s="1"/>
      <c r="M6" s="1"/>
      <c r="N6" s="1"/>
      <c r="O6" s="1"/>
      <c r="P6" s="1"/>
      <c r="Q6" s="1"/>
      <c r="R6" s="2"/>
    </row>
    <row r="7" spans="1:18" s="51" customFormat="1" x14ac:dyDescent="0.25">
      <c r="A7" s="1"/>
      <c r="B7" s="1"/>
      <c r="C7" s="1"/>
      <c r="D7" s="1"/>
      <c r="E7" s="8"/>
      <c r="F7" s="1"/>
      <c r="G7" s="1"/>
      <c r="H7" s="1"/>
      <c r="I7" s="1"/>
      <c r="J7" s="1"/>
      <c r="K7" s="18"/>
      <c r="L7" s="58"/>
      <c r="M7" s="1"/>
      <c r="N7" s="1"/>
      <c r="O7" s="1"/>
      <c r="P7" s="1"/>
      <c r="Q7" s="1"/>
      <c r="R7" s="2"/>
    </row>
    <row r="8" spans="1:18" s="51" customFormat="1" x14ac:dyDescent="0.25">
      <c r="A8" s="1"/>
      <c r="B8" s="1"/>
      <c r="C8" s="1"/>
      <c r="D8" s="1"/>
      <c r="E8" s="8"/>
      <c r="F8" s="1"/>
      <c r="G8" s="1"/>
      <c r="H8" s="1"/>
      <c r="I8" s="1"/>
      <c r="J8" s="1"/>
      <c r="K8" s="18"/>
      <c r="L8" s="1"/>
      <c r="M8" s="1"/>
      <c r="N8" s="1"/>
      <c r="O8" s="1"/>
      <c r="P8" s="1"/>
      <c r="Q8" s="1"/>
      <c r="R8" s="2"/>
    </row>
    <row r="9" spans="1:18" s="51" customFormat="1" x14ac:dyDescent="0.25">
      <c r="A9" s="1"/>
      <c r="B9" s="1"/>
      <c r="C9" s="1"/>
      <c r="D9" s="1"/>
      <c r="E9" s="1"/>
      <c r="F9" s="1"/>
      <c r="G9" s="1"/>
      <c r="H9" s="1"/>
      <c r="I9" s="1">
        <v>1</v>
      </c>
      <c r="J9" s="1">
        <f>I9+1</f>
        <v>2</v>
      </c>
      <c r="K9" s="1">
        <f t="shared" ref="K9:R9" si="0">J9+1</f>
        <v>3</v>
      </c>
      <c r="L9" s="1">
        <f t="shared" si="0"/>
        <v>4</v>
      </c>
      <c r="M9" s="1">
        <f t="shared" si="0"/>
        <v>5</v>
      </c>
      <c r="N9" s="1">
        <f t="shared" si="0"/>
        <v>6</v>
      </c>
      <c r="O9" s="1">
        <f t="shared" si="0"/>
        <v>7</v>
      </c>
      <c r="P9" s="1">
        <f t="shared" si="0"/>
        <v>8</v>
      </c>
      <c r="Q9" s="1">
        <f t="shared" si="0"/>
        <v>9</v>
      </c>
      <c r="R9" s="1">
        <f t="shared" si="0"/>
        <v>10</v>
      </c>
    </row>
    <row r="10" spans="1:18" s="51" customFormat="1" x14ac:dyDescent="0.25">
      <c r="A10" s="1"/>
      <c r="B10" s="9" t="s">
        <v>6</v>
      </c>
      <c r="C10" s="9">
        <v>2017</v>
      </c>
      <c r="D10" s="9">
        <v>2018</v>
      </c>
      <c r="E10" s="9">
        <v>2019</v>
      </c>
      <c r="F10" s="9">
        <v>2020</v>
      </c>
      <c r="G10" s="9">
        <v>2021</v>
      </c>
      <c r="H10" s="9">
        <v>2022</v>
      </c>
      <c r="I10" s="63">
        <v>2023</v>
      </c>
      <c r="J10" s="91">
        <v>2024</v>
      </c>
      <c r="K10" s="91">
        <v>2025</v>
      </c>
      <c r="L10" s="91">
        <v>2026</v>
      </c>
      <c r="M10" s="91">
        <v>2027</v>
      </c>
      <c r="N10" s="91">
        <v>2028</v>
      </c>
      <c r="O10" s="91">
        <v>2029</v>
      </c>
      <c r="P10" s="91">
        <v>2030</v>
      </c>
      <c r="Q10" s="91">
        <v>2031</v>
      </c>
      <c r="R10" s="91">
        <v>2032</v>
      </c>
    </row>
    <row r="11" spans="1:18" s="51" customFormat="1" x14ac:dyDescent="0.25">
      <c r="A11" s="1"/>
      <c r="B11" s="1" t="s">
        <v>7</v>
      </c>
      <c r="C11" s="11">
        <f>'Raw IS'!G6</f>
        <v>11824</v>
      </c>
      <c r="D11" s="11">
        <f>'Raw IS'!H6</f>
        <v>13683</v>
      </c>
      <c r="E11" s="11">
        <f>'Raw IS'!I6</f>
        <v>14863</v>
      </c>
      <c r="F11" s="11">
        <f>'Raw IS'!B6</f>
        <v>14294</v>
      </c>
      <c r="G11" s="11">
        <f>'Raw IS'!C6</f>
        <v>16215</v>
      </c>
      <c r="H11" s="11">
        <f>'Raw IS'!D6</f>
        <v>17737</v>
      </c>
      <c r="I11" s="20">
        <f>H11*(1+I12)</f>
        <v>15840</v>
      </c>
      <c r="J11" s="90">
        <f t="shared" ref="J11:R11" si="1">I11*(1+J12)</f>
        <v>17530</v>
      </c>
      <c r="K11" s="90">
        <f t="shared" si="1"/>
        <v>19160</v>
      </c>
      <c r="L11" s="90">
        <f t="shared" si="1"/>
        <v>20830</v>
      </c>
      <c r="M11" s="90">
        <f t="shared" si="1"/>
        <v>22230</v>
      </c>
      <c r="N11" s="90">
        <f t="shared" si="1"/>
        <v>23900</v>
      </c>
      <c r="O11" s="90">
        <f t="shared" si="1"/>
        <v>25540</v>
      </c>
      <c r="P11" s="90">
        <f t="shared" si="1"/>
        <v>27290.000000000004</v>
      </c>
      <c r="Q11" s="90">
        <f t="shared" si="1"/>
        <v>29180.000000000004</v>
      </c>
      <c r="R11" s="90">
        <f t="shared" si="1"/>
        <v>31200</v>
      </c>
    </row>
    <row r="12" spans="1:18" s="51" customFormat="1" x14ac:dyDescent="0.25">
      <c r="A12" s="1"/>
      <c r="B12" s="78" t="s">
        <v>8</v>
      </c>
      <c r="C12" s="79"/>
      <c r="D12" s="79">
        <f>(D11/C11)-1</f>
        <v>0.15722259810554795</v>
      </c>
      <c r="E12" s="79">
        <f>(E11/D11)-1</f>
        <v>8.6238398012131734E-2</v>
      </c>
      <c r="F12" s="79">
        <f>(F11/E11)-1</f>
        <v>-3.8282984592612479E-2</v>
      </c>
      <c r="G12" s="79">
        <f>(G11/F11)-1</f>
        <v>0.13439205260948639</v>
      </c>
      <c r="H12" s="79">
        <f>(H11/G11)-1</f>
        <v>9.3863706444649919E-2</v>
      </c>
      <c r="I12" s="80">
        <v>-0.10695157016406387</v>
      </c>
      <c r="J12" s="81">
        <v>0.10669191919191912</v>
      </c>
      <c r="K12" s="81">
        <v>9.2983456930975539E-2</v>
      </c>
      <c r="L12" s="81">
        <v>8.7160751565761974E-2</v>
      </c>
      <c r="M12" s="81">
        <v>6.7210753720595262E-2</v>
      </c>
      <c r="N12" s="81">
        <v>7.5123706702654003E-2</v>
      </c>
      <c r="O12" s="81">
        <v>6.8619246861924665E-2</v>
      </c>
      <c r="P12" s="81">
        <v>6.851996867658583E-2</v>
      </c>
      <c r="Q12" s="81">
        <v>6.9256137779406313E-2</v>
      </c>
      <c r="R12" s="81">
        <v>6.9225496915695572E-2</v>
      </c>
    </row>
    <row r="13" spans="1:18" s="51" customFormat="1" x14ac:dyDescent="0.25">
      <c r="A13" s="1"/>
      <c r="B13" s="6"/>
      <c r="C13" s="1"/>
      <c r="D13" s="1"/>
      <c r="E13" s="1"/>
      <c r="F13" s="1"/>
      <c r="G13" s="1"/>
      <c r="H13" s="1"/>
      <c r="I13" s="12"/>
      <c r="J13" s="93"/>
      <c r="K13" s="93"/>
      <c r="L13" s="93"/>
      <c r="M13" s="93"/>
      <c r="N13" s="93"/>
      <c r="O13" s="93"/>
      <c r="P13" s="93"/>
      <c r="Q13" s="93"/>
      <c r="R13" s="93"/>
    </row>
    <row r="14" spans="1:18" s="51" customFormat="1" x14ac:dyDescent="0.25">
      <c r="A14" s="1"/>
      <c r="B14" s="1" t="s">
        <v>9</v>
      </c>
      <c r="C14" s="11">
        <f>'Raw IS'!G7</f>
        <v>2434</v>
      </c>
      <c r="D14" s="11">
        <f>'Raw IS'!H7</f>
        <v>2844</v>
      </c>
      <c r="E14" s="11">
        <f>'Raw IS'!I7</f>
        <v>3387</v>
      </c>
      <c r="F14" s="11">
        <f>'Raw IS'!B7</f>
        <v>3552</v>
      </c>
      <c r="G14" s="11">
        <f>'Raw IS'!C7</f>
        <v>3834</v>
      </c>
      <c r="H14" s="11">
        <f>'Raw IS'!D7</f>
        <v>4305</v>
      </c>
      <c r="I14" s="75">
        <f>I11-I16</f>
        <v>4468.4639999999999</v>
      </c>
      <c r="J14" s="76">
        <f t="shared" ref="J14:R14" si="2">J11-J16</f>
        <v>4652.4619999999995</v>
      </c>
      <c r="K14" s="76">
        <f t="shared" si="2"/>
        <v>4751.68</v>
      </c>
      <c r="L14" s="76">
        <f t="shared" si="2"/>
        <v>4436.7900000000009</v>
      </c>
      <c r="M14" s="76">
        <f t="shared" si="2"/>
        <v>4712.7599999999984</v>
      </c>
      <c r="N14" s="76">
        <f t="shared" si="2"/>
        <v>5042.8999999999978</v>
      </c>
      <c r="O14" s="76">
        <f t="shared" si="2"/>
        <v>5363.3999999999978</v>
      </c>
      <c r="P14" s="76">
        <f t="shared" si="2"/>
        <v>5730.9000000000015</v>
      </c>
      <c r="Q14" s="76">
        <f t="shared" si="2"/>
        <v>6098.619999999999</v>
      </c>
      <c r="R14" s="76">
        <f t="shared" si="2"/>
        <v>6489.5999999999985</v>
      </c>
    </row>
    <row r="15" spans="1:18" s="51" customFormat="1" x14ac:dyDescent="0.25">
      <c r="A15" s="1"/>
      <c r="B15" s="17"/>
      <c r="C15" s="17"/>
      <c r="D15" s="17"/>
      <c r="E15" s="17"/>
      <c r="F15" s="17"/>
      <c r="G15" s="17"/>
      <c r="H15" s="17"/>
      <c r="I15" s="12"/>
      <c r="J15" s="92"/>
      <c r="K15" s="92"/>
      <c r="L15" s="92"/>
      <c r="M15" s="92"/>
      <c r="N15" s="92"/>
      <c r="O15" s="92"/>
      <c r="P15" s="92"/>
      <c r="Q15" s="92"/>
      <c r="R15" s="92"/>
    </row>
    <row r="16" spans="1:18" s="51" customFormat="1" x14ac:dyDescent="0.25">
      <c r="A16" s="1"/>
      <c r="B16" s="1" t="s">
        <v>10</v>
      </c>
      <c r="C16" s="11">
        <f>C11-C14</f>
        <v>9390</v>
      </c>
      <c r="D16" s="11">
        <f t="shared" ref="D16:H16" si="3">D11-D14</f>
        <v>10839</v>
      </c>
      <c r="E16" s="11">
        <f t="shared" si="3"/>
        <v>11476</v>
      </c>
      <c r="F16" s="11">
        <f t="shared" si="3"/>
        <v>10742</v>
      </c>
      <c r="G16" s="11">
        <f t="shared" si="3"/>
        <v>12381</v>
      </c>
      <c r="H16" s="11">
        <f t="shared" si="3"/>
        <v>13432</v>
      </c>
      <c r="I16" s="20">
        <f>I11*I17</f>
        <v>11371.536</v>
      </c>
      <c r="J16" s="90">
        <f t="shared" ref="J16:R16" si="4">J11*J17</f>
        <v>12877.538</v>
      </c>
      <c r="K16" s="90">
        <f>K11*K17</f>
        <v>14408.32</v>
      </c>
      <c r="L16" s="90">
        <f t="shared" si="4"/>
        <v>16393.21</v>
      </c>
      <c r="M16" s="90">
        <f t="shared" si="4"/>
        <v>17517.240000000002</v>
      </c>
      <c r="N16" s="90">
        <f t="shared" si="4"/>
        <v>18857.100000000002</v>
      </c>
      <c r="O16" s="90">
        <f t="shared" si="4"/>
        <v>20176.600000000002</v>
      </c>
      <c r="P16" s="90">
        <f t="shared" si="4"/>
        <v>21559.100000000002</v>
      </c>
      <c r="Q16" s="90">
        <f t="shared" si="4"/>
        <v>23081.380000000005</v>
      </c>
      <c r="R16" s="90">
        <f t="shared" si="4"/>
        <v>24710.400000000001</v>
      </c>
    </row>
    <row r="17" spans="1:18" s="51" customFormat="1" x14ac:dyDescent="0.25">
      <c r="A17" s="1"/>
      <c r="B17" s="78" t="s">
        <v>11</v>
      </c>
      <c r="C17" s="79">
        <f t="shared" ref="C17:H17" si="5">C16/C11</f>
        <v>0.79414749661705009</v>
      </c>
      <c r="D17" s="79">
        <f t="shared" si="5"/>
        <v>0.79215084411313308</v>
      </c>
      <c r="E17" s="79">
        <f t="shared" si="5"/>
        <v>0.77211868398035388</v>
      </c>
      <c r="F17" s="79">
        <f t="shared" si="5"/>
        <v>0.7515041276059885</v>
      </c>
      <c r="G17" s="79">
        <f t="shared" si="5"/>
        <v>0.76355226641998153</v>
      </c>
      <c r="H17" s="79">
        <f t="shared" si="5"/>
        <v>0.75728702711845297</v>
      </c>
      <c r="I17" s="83">
        <v>0.71789999999999998</v>
      </c>
      <c r="J17" s="94">
        <v>0.73460000000000003</v>
      </c>
      <c r="K17" s="94">
        <v>0.752</v>
      </c>
      <c r="L17" s="94">
        <v>0.78700000000000003</v>
      </c>
      <c r="M17" s="94">
        <v>0.78800000000000003</v>
      </c>
      <c r="N17" s="94">
        <v>0.78900000000000003</v>
      </c>
      <c r="O17" s="94">
        <v>0.79</v>
      </c>
      <c r="P17" s="94">
        <v>0.79</v>
      </c>
      <c r="Q17" s="94">
        <v>0.79100000000000004</v>
      </c>
      <c r="R17" s="94">
        <v>0.79200000000000004</v>
      </c>
    </row>
    <row r="18" spans="1:18" s="51" customFormat="1" x14ac:dyDescent="0.25">
      <c r="A18" s="1"/>
      <c r="B18" s="1"/>
      <c r="C18" s="11"/>
      <c r="D18" s="11"/>
      <c r="E18" s="11"/>
      <c r="F18" s="11"/>
      <c r="G18" s="11"/>
      <c r="H18" s="11"/>
      <c r="I18" s="20"/>
      <c r="J18" s="90"/>
      <c r="K18" s="90"/>
      <c r="L18" s="90"/>
      <c r="M18" s="90"/>
      <c r="N18" s="90"/>
      <c r="O18" s="90"/>
      <c r="P18" s="90"/>
      <c r="Q18" s="90"/>
      <c r="R18" s="90"/>
    </row>
    <row r="19" spans="1:18" s="51" customFormat="1" x14ac:dyDescent="0.25">
      <c r="A19" s="1"/>
      <c r="B19" s="1" t="s">
        <v>39</v>
      </c>
      <c r="C19" s="11">
        <f>'Raw IS'!G12</f>
        <v>7460</v>
      </c>
      <c r="D19" s="11">
        <f>'Raw IS'!H12</f>
        <v>8553</v>
      </c>
      <c r="E19" s="11">
        <f>'Raw IS'!I12</f>
        <v>8857</v>
      </c>
      <c r="F19" s="11">
        <f>'Raw IS'!B12</f>
        <v>8637</v>
      </c>
      <c r="G19" s="11">
        <f>'Raw IS'!C12</f>
        <v>9371</v>
      </c>
      <c r="H19" s="11">
        <f>'Raw IS'!D12</f>
        <v>9888</v>
      </c>
      <c r="I19" s="20">
        <f t="shared" ref="I19:R19" si="6">I20*I11</f>
        <v>9389.9519999999993</v>
      </c>
      <c r="J19" s="90">
        <f t="shared" si="6"/>
        <v>9816.8000000000011</v>
      </c>
      <c r="K19" s="90">
        <f t="shared" si="6"/>
        <v>10470.94</v>
      </c>
      <c r="L19" s="90">
        <f t="shared" si="6"/>
        <v>11383.594999999999</v>
      </c>
      <c r="M19" s="90">
        <f t="shared" si="6"/>
        <v>12037.545</v>
      </c>
      <c r="N19" s="90">
        <f t="shared" si="6"/>
        <v>12953.800000000001</v>
      </c>
      <c r="O19" s="90">
        <f t="shared" si="6"/>
        <v>13791.6</v>
      </c>
      <c r="P19" s="90">
        <f t="shared" si="6"/>
        <v>14654.730000000003</v>
      </c>
      <c r="Q19" s="90">
        <f t="shared" si="6"/>
        <v>15611.300000000003</v>
      </c>
      <c r="R19" s="90">
        <f t="shared" si="6"/>
        <v>16692</v>
      </c>
    </row>
    <row r="20" spans="1:18" s="51" customFormat="1" x14ac:dyDescent="0.25">
      <c r="A20" s="1"/>
      <c r="B20" s="78" t="s">
        <v>16</v>
      </c>
      <c r="C20" s="79">
        <f t="shared" ref="C20:H20" si="7">C19/C11</f>
        <v>0.63092016238159676</v>
      </c>
      <c r="D20" s="79">
        <f t="shared" si="7"/>
        <v>0.62508221881166415</v>
      </c>
      <c r="E20" s="79">
        <f t="shared" si="7"/>
        <v>0.59590930498553452</v>
      </c>
      <c r="F20" s="79">
        <f t="shared" si="7"/>
        <v>0.60423954106618161</v>
      </c>
      <c r="G20" s="79">
        <f t="shared" si="7"/>
        <v>0.5779216774591428</v>
      </c>
      <c r="H20" s="79">
        <f t="shared" si="7"/>
        <v>0.55747871680667527</v>
      </c>
      <c r="I20" s="80">
        <v>0.59279999999999999</v>
      </c>
      <c r="J20" s="81">
        <v>0.56000000000000005</v>
      </c>
      <c r="K20" s="81">
        <v>0.54649999999999999</v>
      </c>
      <c r="L20" s="81">
        <v>0.54649999999999999</v>
      </c>
      <c r="M20" s="81">
        <v>0.54149999999999998</v>
      </c>
      <c r="N20" s="81">
        <v>0.54200000000000004</v>
      </c>
      <c r="O20" s="81">
        <v>0.54</v>
      </c>
      <c r="P20" s="81">
        <v>0.53700000000000003</v>
      </c>
      <c r="Q20" s="81">
        <v>0.53500000000000003</v>
      </c>
      <c r="R20" s="81">
        <v>0.53500000000000003</v>
      </c>
    </row>
    <row r="21" spans="1:18" s="51" customFormat="1" x14ac:dyDescent="0.25">
      <c r="A21" s="1"/>
      <c r="B21" s="13"/>
      <c r="C21" s="14"/>
      <c r="D21" s="14"/>
      <c r="E21" s="14"/>
      <c r="F21" s="14"/>
      <c r="G21" s="14"/>
      <c r="H21" s="14"/>
      <c r="I21" s="19"/>
      <c r="J21" s="74"/>
      <c r="K21" s="74"/>
      <c r="L21" s="74"/>
      <c r="M21" s="74"/>
      <c r="N21" s="74"/>
      <c r="O21" s="74"/>
      <c r="P21" s="74"/>
      <c r="Q21" s="74"/>
      <c r="R21" s="74"/>
    </row>
    <row r="22" spans="1:18" s="51" customFormat="1" x14ac:dyDescent="0.25">
      <c r="A22" s="1"/>
      <c r="B22" s="1" t="s">
        <v>60</v>
      </c>
      <c r="C22" s="11">
        <f>SUM('Raw IS'!G13:G15)</f>
        <v>226</v>
      </c>
      <c r="D22" s="11">
        <f>SUM('Raw IS'!H13:H15)</f>
        <v>231</v>
      </c>
      <c r="E22" s="11">
        <f>SUM('Raw IS'!I13:I15)</f>
        <v>306</v>
      </c>
      <c r="F22" s="11">
        <f>SUM('Raw IS'!B13:B15)</f>
        <v>1499</v>
      </c>
      <c r="G22" s="11">
        <f>SUM('Raw IS'!C13:C15)</f>
        <v>392</v>
      </c>
      <c r="H22" s="11">
        <f>SUM('Raw IS'!D13:D15)</f>
        <v>374</v>
      </c>
      <c r="I22" s="38">
        <f>I23*I11</f>
        <v>332.64000000000004</v>
      </c>
      <c r="J22" s="95">
        <f t="shared" ref="J22:R22" si="8">J23*J11</f>
        <v>368.13</v>
      </c>
      <c r="K22" s="95">
        <f t="shared" si="8"/>
        <v>402.36</v>
      </c>
      <c r="L22" s="95">
        <f t="shared" si="8"/>
        <v>437.43</v>
      </c>
      <c r="M22" s="95">
        <f t="shared" si="8"/>
        <v>466.83000000000004</v>
      </c>
      <c r="N22" s="95">
        <f t="shared" si="8"/>
        <v>501.90000000000003</v>
      </c>
      <c r="O22" s="95">
        <f t="shared" si="8"/>
        <v>536.34</v>
      </c>
      <c r="P22" s="95">
        <f t="shared" si="8"/>
        <v>573.09000000000015</v>
      </c>
      <c r="Q22" s="95">
        <f t="shared" si="8"/>
        <v>612.78000000000009</v>
      </c>
      <c r="R22" s="95">
        <f t="shared" si="8"/>
        <v>655.20000000000005</v>
      </c>
    </row>
    <row r="23" spans="1:18" s="51" customFormat="1" x14ac:dyDescent="0.25">
      <c r="A23" s="1"/>
      <c r="B23" s="1" t="s">
        <v>16</v>
      </c>
      <c r="C23" s="14">
        <f>C22/C11</f>
        <v>1.9113667117726659E-2</v>
      </c>
      <c r="D23" s="14">
        <f t="shared" ref="D23:H23" si="9">D22/D11</f>
        <v>1.6882262661696998E-2</v>
      </c>
      <c r="E23" s="14">
        <f t="shared" si="9"/>
        <v>2.0588037408329408E-2</v>
      </c>
      <c r="F23" s="14">
        <f t="shared" si="9"/>
        <v>0.10486917587799076</v>
      </c>
      <c r="G23" s="14">
        <f t="shared" si="9"/>
        <v>2.4175146469318533E-2</v>
      </c>
      <c r="H23" s="14">
        <f t="shared" si="9"/>
        <v>2.1085865704459604E-2</v>
      </c>
      <c r="I23" s="19">
        <v>2.1000000000000001E-2</v>
      </c>
      <c r="J23" s="74">
        <v>2.1000000000000001E-2</v>
      </c>
      <c r="K23" s="74">
        <v>2.1000000000000001E-2</v>
      </c>
      <c r="L23" s="74">
        <v>2.1000000000000001E-2</v>
      </c>
      <c r="M23" s="74">
        <v>2.1000000000000001E-2</v>
      </c>
      <c r="N23" s="74">
        <v>2.1000000000000001E-2</v>
      </c>
      <c r="O23" s="74">
        <v>2.1000000000000001E-2</v>
      </c>
      <c r="P23" s="74">
        <v>2.1000000000000001E-2</v>
      </c>
      <c r="Q23" s="74">
        <v>2.1000000000000001E-2</v>
      </c>
      <c r="R23" s="74">
        <v>2.1000000000000001E-2</v>
      </c>
    </row>
    <row r="24" spans="1:18" s="51" customFormat="1" x14ac:dyDescent="0.25">
      <c r="A24" s="1"/>
      <c r="B24" s="1"/>
      <c r="C24" s="11"/>
      <c r="D24" s="11"/>
      <c r="E24" s="11"/>
      <c r="F24" s="11"/>
      <c r="G24" s="11"/>
      <c r="H24" s="11"/>
      <c r="I24" s="38"/>
      <c r="J24" s="95"/>
      <c r="K24" s="95"/>
      <c r="L24" s="95"/>
      <c r="M24" s="95"/>
      <c r="N24" s="95"/>
      <c r="O24" s="95"/>
      <c r="P24" s="95"/>
      <c r="Q24" s="95"/>
      <c r="R24" s="95"/>
    </row>
    <row r="25" spans="1:18" s="51" customFormat="1" x14ac:dyDescent="0.25">
      <c r="A25" s="1"/>
      <c r="B25" s="1" t="s">
        <v>12</v>
      </c>
      <c r="C25" s="11">
        <f>C19+C22</f>
        <v>7686</v>
      </c>
      <c r="D25" s="11">
        <f t="shared" ref="D25:H25" si="10">D19+D22</f>
        <v>8784</v>
      </c>
      <c r="E25" s="11">
        <f t="shared" si="10"/>
        <v>9163</v>
      </c>
      <c r="F25" s="11">
        <f t="shared" si="10"/>
        <v>10136</v>
      </c>
      <c r="G25" s="11">
        <f t="shared" si="10"/>
        <v>9763</v>
      </c>
      <c r="H25" s="11">
        <f>H19+H22</f>
        <v>10262</v>
      </c>
      <c r="I25" s="38">
        <f t="shared" ref="I25:R25" si="11">I19+I22</f>
        <v>9722.5919999999987</v>
      </c>
      <c r="J25" s="95">
        <f t="shared" si="11"/>
        <v>10184.93</v>
      </c>
      <c r="K25" s="95">
        <f t="shared" si="11"/>
        <v>10873.300000000001</v>
      </c>
      <c r="L25" s="95">
        <f t="shared" si="11"/>
        <v>11821.025</v>
      </c>
      <c r="M25" s="95">
        <f t="shared" si="11"/>
        <v>12504.375</v>
      </c>
      <c r="N25" s="95">
        <f t="shared" si="11"/>
        <v>13455.7</v>
      </c>
      <c r="O25" s="95">
        <f t="shared" si="11"/>
        <v>14327.94</v>
      </c>
      <c r="P25" s="95">
        <f t="shared" si="11"/>
        <v>15227.820000000003</v>
      </c>
      <c r="Q25" s="95">
        <f t="shared" si="11"/>
        <v>16224.080000000004</v>
      </c>
      <c r="R25" s="95">
        <f t="shared" si="11"/>
        <v>17347.2</v>
      </c>
    </row>
    <row r="26" spans="1:18" s="51" customFormat="1" x14ac:dyDescent="0.25">
      <c r="A26" s="1"/>
      <c r="B26" s="1"/>
      <c r="C26" s="14"/>
      <c r="D26" s="14"/>
      <c r="E26" s="14"/>
      <c r="F26" s="14"/>
      <c r="G26" s="14"/>
      <c r="H26" s="14"/>
      <c r="I26" s="19"/>
      <c r="J26" s="74"/>
      <c r="K26" s="74"/>
      <c r="L26" s="74"/>
      <c r="M26" s="74"/>
      <c r="N26" s="74"/>
      <c r="O26" s="74"/>
      <c r="P26" s="74"/>
      <c r="Q26" s="74"/>
      <c r="R26" s="74"/>
    </row>
    <row r="27" spans="1:18" s="51" customFormat="1" x14ac:dyDescent="0.25">
      <c r="A27" s="1"/>
      <c r="B27" s="1" t="s">
        <v>13</v>
      </c>
      <c r="C27" s="11">
        <f>C16-C25</f>
        <v>1704</v>
      </c>
      <c r="D27" s="11">
        <f t="shared" ref="D27:H27" si="12">D16-D25</f>
        <v>2055</v>
      </c>
      <c r="E27" s="11">
        <f t="shared" si="12"/>
        <v>2313</v>
      </c>
      <c r="F27" s="11">
        <f t="shared" si="12"/>
        <v>606</v>
      </c>
      <c r="G27" s="11">
        <f t="shared" si="12"/>
        <v>2618</v>
      </c>
      <c r="H27" s="11">
        <f t="shared" si="12"/>
        <v>3170</v>
      </c>
      <c r="I27" s="38">
        <f>I16-I25</f>
        <v>1648.9440000000013</v>
      </c>
      <c r="J27" s="95">
        <f t="shared" ref="J27:R27" si="13">J16-J25</f>
        <v>2692.6080000000002</v>
      </c>
      <c r="K27" s="95">
        <f t="shared" si="13"/>
        <v>3535.0199999999986</v>
      </c>
      <c r="L27" s="95">
        <f t="shared" si="13"/>
        <v>4572.1849999999995</v>
      </c>
      <c r="M27" s="95">
        <f t="shared" si="13"/>
        <v>5012.8650000000016</v>
      </c>
      <c r="N27" s="95">
        <f t="shared" si="13"/>
        <v>5401.4000000000015</v>
      </c>
      <c r="O27" s="95">
        <f t="shared" si="13"/>
        <v>5848.6600000000017</v>
      </c>
      <c r="P27" s="95">
        <f t="shared" si="13"/>
        <v>6331.2799999999988</v>
      </c>
      <c r="Q27" s="95">
        <f t="shared" si="13"/>
        <v>6857.3000000000011</v>
      </c>
      <c r="R27" s="95">
        <f t="shared" si="13"/>
        <v>7363.2000000000007</v>
      </c>
    </row>
    <row r="28" spans="1:18" s="51" customFormat="1" x14ac:dyDescent="0.25">
      <c r="A28" s="1"/>
      <c r="B28" s="1" t="s">
        <v>63</v>
      </c>
      <c r="C28" s="88">
        <f>C31-C27</f>
        <v>-87</v>
      </c>
      <c r="D28" s="88">
        <f t="shared" ref="D28:H28" si="14">D31-D27</f>
        <v>-75</v>
      </c>
      <c r="E28" s="88">
        <f t="shared" si="14"/>
        <v>-6</v>
      </c>
      <c r="F28" s="88">
        <f t="shared" si="14"/>
        <v>440</v>
      </c>
      <c r="G28" s="88">
        <f t="shared" si="14"/>
        <v>713</v>
      </c>
      <c r="H28" s="88">
        <f t="shared" si="14"/>
        <v>-134</v>
      </c>
      <c r="I28" s="20">
        <f t="shared" ref="I28:R28" si="15">I29*I11</f>
        <v>-158.4</v>
      </c>
      <c r="J28" s="90">
        <f t="shared" si="15"/>
        <v>-87.65</v>
      </c>
      <c r="K28" s="90">
        <f t="shared" si="15"/>
        <v>-95.8</v>
      </c>
      <c r="L28" s="90">
        <f t="shared" si="15"/>
        <v>-208.3</v>
      </c>
      <c r="M28" s="90">
        <f t="shared" si="15"/>
        <v>-111.15</v>
      </c>
      <c r="N28" s="90">
        <f t="shared" si="15"/>
        <v>-119.5</v>
      </c>
      <c r="O28" s="90">
        <f t="shared" si="15"/>
        <v>-127.7</v>
      </c>
      <c r="P28" s="90">
        <f t="shared" si="15"/>
        <v>-136.45000000000002</v>
      </c>
      <c r="Q28" s="90">
        <f t="shared" si="15"/>
        <v>-145.90000000000003</v>
      </c>
      <c r="R28" s="90">
        <f t="shared" si="15"/>
        <v>-156</v>
      </c>
    </row>
    <row r="29" spans="1:18" s="51" customFormat="1" x14ac:dyDescent="0.25">
      <c r="A29" s="1"/>
      <c r="B29" s="78" t="s">
        <v>16</v>
      </c>
      <c r="C29" s="79">
        <f t="shared" ref="C29:H29" si="16">C28/C11</f>
        <v>-7.3579161028416778E-3</v>
      </c>
      <c r="D29" s="79">
        <f t="shared" si="16"/>
        <v>-5.4812541109405836E-3</v>
      </c>
      <c r="E29" s="79">
        <f t="shared" si="16"/>
        <v>-4.0368700800645901E-4</v>
      </c>
      <c r="F29" s="79">
        <f t="shared" si="16"/>
        <v>3.0782146355114035E-2</v>
      </c>
      <c r="G29" s="79">
        <f t="shared" si="16"/>
        <v>4.397163120567376E-2</v>
      </c>
      <c r="H29" s="79">
        <f t="shared" si="16"/>
        <v>-7.5548288887636013E-3</v>
      </c>
      <c r="I29" s="83">
        <v>-0.01</v>
      </c>
      <c r="J29" s="94">
        <v>-5.0000000000000001E-3</v>
      </c>
      <c r="K29" s="94">
        <v>-5.0000000000000001E-3</v>
      </c>
      <c r="L29" s="94">
        <v>-0.01</v>
      </c>
      <c r="M29" s="94">
        <v>-5.0000000000000001E-3</v>
      </c>
      <c r="N29" s="94">
        <v>-5.0000000000000001E-3</v>
      </c>
      <c r="O29" s="94">
        <v>-5.0000000000000001E-3</v>
      </c>
      <c r="P29" s="94">
        <v>-5.0000000000000001E-3</v>
      </c>
      <c r="Q29" s="94">
        <v>-5.0000000000000001E-3</v>
      </c>
      <c r="R29" s="94">
        <v>-5.0000000000000001E-3</v>
      </c>
    </row>
    <row r="30" spans="1:18" s="51" customFormat="1" x14ac:dyDescent="0.25">
      <c r="A30" s="1"/>
      <c r="B30" s="1"/>
      <c r="C30" s="72"/>
      <c r="D30" s="72"/>
      <c r="E30" s="72"/>
      <c r="F30" s="72"/>
      <c r="G30" s="72"/>
      <c r="H30" s="72"/>
      <c r="I30" s="12"/>
      <c r="J30" s="92"/>
      <c r="K30" s="92"/>
      <c r="L30" s="92"/>
      <c r="M30" s="92"/>
      <c r="N30" s="92"/>
      <c r="O30" s="92"/>
      <c r="P30" s="92"/>
      <c r="Q30" s="92"/>
      <c r="R30" s="92"/>
    </row>
    <row r="31" spans="1:18" s="51" customFormat="1" x14ac:dyDescent="0.25">
      <c r="A31" s="1"/>
      <c r="B31" s="1" t="s">
        <v>14</v>
      </c>
      <c r="C31" s="11">
        <f>'Raw IS'!G26</f>
        <v>1617</v>
      </c>
      <c r="D31" s="11">
        <f>'Raw IS'!H26</f>
        <v>1980</v>
      </c>
      <c r="E31" s="11">
        <f>'Raw IS'!I26</f>
        <v>2307</v>
      </c>
      <c r="F31" s="11">
        <f>'Raw IS'!B24</f>
        <v>1046</v>
      </c>
      <c r="G31" s="11">
        <f>'Raw IS'!C24</f>
        <v>3331</v>
      </c>
      <c r="H31" s="11">
        <f>'Raw IS'!D24</f>
        <v>3036</v>
      </c>
      <c r="I31" s="38">
        <f>I27+I28</f>
        <v>1490.5440000000012</v>
      </c>
      <c r="J31" s="95">
        <f t="shared" ref="I31:R31" si="17">J27+J28</f>
        <v>2604.9580000000001</v>
      </c>
      <c r="K31" s="95">
        <f t="shared" si="17"/>
        <v>3439.2199999999984</v>
      </c>
      <c r="L31" s="95">
        <f t="shared" si="17"/>
        <v>4363.8849999999993</v>
      </c>
      <c r="M31" s="95">
        <f t="shared" si="17"/>
        <v>4901.715000000002</v>
      </c>
      <c r="N31" s="95">
        <f t="shared" si="17"/>
        <v>5281.9000000000015</v>
      </c>
      <c r="O31" s="95">
        <f t="shared" si="17"/>
        <v>5720.9600000000019</v>
      </c>
      <c r="P31" s="95">
        <f t="shared" si="17"/>
        <v>6194.829999999999</v>
      </c>
      <c r="Q31" s="95">
        <f t="shared" si="17"/>
        <v>6711.4000000000015</v>
      </c>
      <c r="R31" s="95">
        <f t="shared" si="17"/>
        <v>7207.2000000000007</v>
      </c>
    </row>
    <row r="32" spans="1:18" s="51" customFormat="1" x14ac:dyDescent="0.25">
      <c r="A32" s="1"/>
      <c r="B32" s="1"/>
      <c r="C32" s="21"/>
      <c r="D32" s="21"/>
      <c r="E32" s="21"/>
      <c r="F32" s="21"/>
      <c r="G32" s="21"/>
      <c r="H32" s="72"/>
      <c r="I32" s="12"/>
      <c r="J32" s="92"/>
      <c r="K32" s="92"/>
      <c r="L32" s="92"/>
      <c r="M32" s="92"/>
      <c r="N32" s="92"/>
      <c r="O32" s="92"/>
      <c r="P32" s="92"/>
      <c r="Q32" s="92"/>
      <c r="R32" s="92"/>
    </row>
    <row r="33" spans="1:86" s="51" customFormat="1" x14ac:dyDescent="0.25">
      <c r="A33" s="1"/>
      <c r="B33" s="1" t="s">
        <v>15</v>
      </c>
      <c r="C33" s="11">
        <f>C27</f>
        <v>1704</v>
      </c>
      <c r="D33" s="11">
        <f t="shared" ref="D33:R33" si="18">D27</f>
        <v>2055</v>
      </c>
      <c r="E33" s="11">
        <f t="shared" si="18"/>
        <v>2313</v>
      </c>
      <c r="F33" s="11">
        <f t="shared" si="18"/>
        <v>606</v>
      </c>
      <c r="G33" s="11">
        <f t="shared" si="18"/>
        <v>2618</v>
      </c>
      <c r="H33" s="11">
        <f t="shared" si="18"/>
        <v>3170</v>
      </c>
      <c r="I33" s="38">
        <f t="shared" si="18"/>
        <v>1648.9440000000013</v>
      </c>
      <c r="J33" s="95">
        <f t="shared" si="18"/>
        <v>2692.6080000000002</v>
      </c>
      <c r="K33" s="95">
        <f t="shared" si="18"/>
        <v>3535.0199999999986</v>
      </c>
      <c r="L33" s="95">
        <f t="shared" si="18"/>
        <v>4572.1849999999995</v>
      </c>
      <c r="M33" s="95">
        <f t="shared" si="18"/>
        <v>5012.8650000000016</v>
      </c>
      <c r="N33" s="95">
        <f t="shared" si="18"/>
        <v>5401.4000000000015</v>
      </c>
      <c r="O33" s="95">
        <f t="shared" si="18"/>
        <v>5848.6600000000017</v>
      </c>
      <c r="P33" s="95">
        <f t="shared" si="18"/>
        <v>6331.2799999999988</v>
      </c>
      <c r="Q33" s="95">
        <f t="shared" si="18"/>
        <v>6857.3000000000011</v>
      </c>
      <c r="R33" s="95">
        <f t="shared" si="18"/>
        <v>7363.2000000000007</v>
      </c>
    </row>
    <row r="34" spans="1:86" s="51" customFormat="1" x14ac:dyDescent="0.25">
      <c r="A34" s="1"/>
      <c r="B34" s="78" t="s">
        <v>16</v>
      </c>
      <c r="C34" s="79">
        <f t="shared" ref="C34:R34" si="19">C33/C11</f>
        <v>0.14411366711772666</v>
      </c>
      <c r="D34" s="79">
        <f t="shared" si="19"/>
        <v>0.15018636263977198</v>
      </c>
      <c r="E34" s="79">
        <f t="shared" si="19"/>
        <v>0.15562134158648994</v>
      </c>
      <c r="F34" s="79">
        <f t="shared" si="19"/>
        <v>4.2395410661816145E-2</v>
      </c>
      <c r="G34" s="79">
        <f t="shared" si="19"/>
        <v>0.16145544249152019</v>
      </c>
      <c r="H34" s="79">
        <f t="shared" si="19"/>
        <v>0.17872244460731804</v>
      </c>
      <c r="I34" s="80">
        <f t="shared" si="19"/>
        <v>0.10410000000000008</v>
      </c>
      <c r="J34" s="81">
        <f t="shared" si="19"/>
        <v>0.15360000000000001</v>
      </c>
      <c r="K34" s="81">
        <f t="shared" si="19"/>
        <v>0.18449999999999991</v>
      </c>
      <c r="L34" s="81">
        <f t="shared" si="19"/>
        <v>0.21949999999999997</v>
      </c>
      <c r="M34" s="81">
        <f t="shared" si="19"/>
        <v>0.22550000000000006</v>
      </c>
      <c r="N34" s="81">
        <f t="shared" si="19"/>
        <v>0.22600000000000006</v>
      </c>
      <c r="O34" s="81">
        <f t="shared" si="19"/>
        <v>0.22900000000000006</v>
      </c>
      <c r="P34" s="81">
        <f t="shared" si="19"/>
        <v>0.23199999999999993</v>
      </c>
      <c r="Q34" s="81">
        <f t="shared" si="19"/>
        <v>0.23500000000000001</v>
      </c>
      <c r="R34" s="81">
        <f t="shared" si="19"/>
        <v>0.23600000000000002</v>
      </c>
    </row>
    <row r="35" spans="1:86" s="51" customFormat="1" x14ac:dyDescent="0.25">
      <c r="A35" s="1"/>
      <c r="B35" s="13"/>
      <c r="C35" s="1"/>
      <c r="D35" s="1"/>
      <c r="E35" s="2"/>
      <c r="F35" s="1"/>
      <c r="G35" s="1"/>
      <c r="H35" s="1"/>
      <c r="I35" s="12"/>
      <c r="J35" s="92"/>
      <c r="K35" s="92"/>
      <c r="L35" s="92"/>
      <c r="M35" s="92"/>
      <c r="N35" s="92"/>
      <c r="O35" s="92"/>
      <c r="P35" s="92"/>
      <c r="Q35" s="92"/>
      <c r="R35" s="92"/>
    </row>
    <row r="36" spans="1:86" s="51" customFormat="1" x14ac:dyDescent="0.25">
      <c r="A36" s="1"/>
      <c r="B36" s="1" t="s">
        <v>17</v>
      </c>
      <c r="C36" s="11">
        <f>'Raw IS'!G28</f>
        <v>361</v>
      </c>
      <c r="D36" s="11">
        <f>'Raw IS'!H28</f>
        <v>863</v>
      </c>
      <c r="E36" s="11">
        <f>'Raw IS'!I28</f>
        <v>513</v>
      </c>
      <c r="F36" s="11">
        <f>'Raw IS'!B26</f>
        <v>350</v>
      </c>
      <c r="G36" s="11">
        <f>'Raw IS'!C26</f>
        <v>456</v>
      </c>
      <c r="H36" s="11">
        <f>'Raw IS'!D26</f>
        <v>628</v>
      </c>
      <c r="I36" s="20">
        <f>I33*I37</f>
        <v>444.0606192000003</v>
      </c>
      <c r="J36" s="90">
        <f t="shared" ref="J36:R36" si="20">J33*J37</f>
        <v>646.22591999999997</v>
      </c>
      <c r="K36" s="90">
        <f t="shared" si="20"/>
        <v>848.40479999999968</v>
      </c>
      <c r="L36" s="90">
        <f t="shared" si="20"/>
        <v>1097.3243999999997</v>
      </c>
      <c r="M36" s="90">
        <f t="shared" si="20"/>
        <v>1203.0876000000003</v>
      </c>
      <c r="N36" s="90">
        <f t="shared" si="20"/>
        <v>1296.3360000000002</v>
      </c>
      <c r="O36" s="90">
        <f t="shared" si="20"/>
        <v>1403.6784000000002</v>
      </c>
      <c r="P36" s="90">
        <f t="shared" si="20"/>
        <v>1519.5071999999996</v>
      </c>
      <c r="Q36" s="90">
        <f t="shared" si="20"/>
        <v>1645.7520000000002</v>
      </c>
      <c r="R36" s="90">
        <f t="shared" si="20"/>
        <v>1767.1680000000001</v>
      </c>
    </row>
    <row r="37" spans="1:86" s="51" customFormat="1" x14ac:dyDescent="0.25">
      <c r="A37" s="1"/>
      <c r="B37" s="78" t="s">
        <v>18</v>
      </c>
      <c r="C37" s="82">
        <f>C36/C33</f>
        <v>0.21185446009389672</v>
      </c>
      <c r="D37" s="82">
        <f t="shared" ref="D37:H37" si="21">D36/D33</f>
        <v>0.41995133819951336</v>
      </c>
      <c r="E37" s="82">
        <f t="shared" si="21"/>
        <v>0.22178988326848248</v>
      </c>
      <c r="F37" s="82">
        <f t="shared" si="21"/>
        <v>0.57755775577557755</v>
      </c>
      <c r="G37" s="82">
        <f t="shared" si="21"/>
        <v>0.17417876241405653</v>
      </c>
      <c r="H37" s="82">
        <f t="shared" si="21"/>
        <v>0.19810725552050473</v>
      </c>
      <c r="I37" s="83">
        <v>0.26929999999999998</v>
      </c>
      <c r="J37" s="94">
        <v>0.24</v>
      </c>
      <c r="K37" s="94">
        <v>0.24</v>
      </c>
      <c r="L37" s="94">
        <v>0.24</v>
      </c>
      <c r="M37" s="94">
        <v>0.24</v>
      </c>
      <c r="N37" s="94">
        <v>0.24</v>
      </c>
      <c r="O37" s="94">
        <v>0.24</v>
      </c>
      <c r="P37" s="94">
        <v>0.24</v>
      </c>
      <c r="Q37" s="94">
        <v>0.24</v>
      </c>
      <c r="R37" s="94">
        <v>0.24</v>
      </c>
    </row>
    <row r="38" spans="1:86" s="51" customFormat="1" x14ac:dyDescent="0.25">
      <c r="A38" s="1"/>
      <c r="B38" s="1"/>
      <c r="C38" s="1"/>
      <c r="D38" s="1"/>
      <c r="E38" s="1"/>
      <c r="F38" s="1"/>
      <c r="G38" s="1"/>
      <c r="H38" s="1"/>
      <c r="I38" s="12"/>
      <c r="J38" s="92"/>
      <c r="K38" s="92"/>
      <c r="L38" s="92"/>
      <c r="M38" s="92"/>
      <c r="N38" s="92"/>
      <c r="O38" s="92"/>
      <c r="P38" s="92"/>
      <c r="Q38" s="92"/>
      <c r="R38" s="92"/>
    </row>
    <row r="39" spans="1:86" s="51" customFormat="1" x14ac:dyDescent="0.25">
      <c r="A39" s="1"/>
      <c r="B39" s="9" t="s">
        <v>19</v>
      </c>
      <c r="C39" s="9">
        <v>2017</v>
      </c>
      <c r="D39" s="9">
        <v>2018</v>
      </c>
      <c r="E39" s="10">
        <v>2019</v>
      </c>
      <c r="F39" s="9">
        <v>2020</v>
      </c>
      <c r="G39" s="9">
        <v>2021</v>
      </c>
      <c r="H39" s="9">
        <v>2022</v>
      </c>
      <c r="I39" s="64">
        <v>2023</v>
      </c>
      <c r="J39" s="96">
        <v>2024</v>
      </c>
      <c r="K39" s="96">
        <v>2025</v>
      </c>
      <c r="L39" s="96">
        <v>2026</v>
      </c>
      <c r="M39" s="96">
        <v>2027</v>
      </c>
      <c r="N39" s="96">
        <v>2028</v>
      </c>
      <c r="O39" s="96">
        <v>2029</v>
      </c>
      <c r="P39" s="96">
        <v>2030</v>
      </c>
      <c r="Q39" s="96">
        <v>2031</v>
      </c>
      <c r="R39" s="96">
        <v>2032</v>
      </c>
      <c r="S39" s="9">
        <v>2033</v>
      </c>
      <c r="T39" s="9">
        <v>2034</v>
      </c>
      <c r="U39" s="9">
        <v>2035</v>
      </c>
      <c r="V39" s="9">
        <v>2036</v>
      </c>
      <c r="W39" s="9">
        <v>2037</v>
      </c>
      <c r="X39" s="9">
        <v>2038</v>
      </c>
      <c r="Y39" s="9">
        <v>2039</v>
      </c>
      <c r="Z39" s="9">
        <v>2040</v>
      </c>
      <c r="AA39" s="9">
        <v>2041</v>
      </c>
      <c r="AB39" s="9">
        <v>2042</v>
      </c>
      <c r="AC39" s="9">
        <v>2043</v>
      </c>
      <c r="AD39" s="9">
        <v>2044</v>
      </c>
      <c r="AE39" s="9">
        <v>2045</v>
      </c>
      <c r="AF39" s="9">
        <v>2046</v>
      </c>
      <c r="AG39" s="9">
        <v>2047</v>
      </c>
      <c r="AH39" s="9">
        <v>2048</v>
      </c>
      <c r="AI39" s="9">
        <v>2049</v>
      </c>
      <c r="AJ39" s="9">
        <v>2050</v>
      </c>
      <c r="AK39" s="9">
        <v>2051</v>
      </c>
      <c r="AL39" s="9">
        <v>2052</v>
      </c>
      <c r="AM39" s="9">
        <v>2053</v>
      </c>
      <c r="AN39" s="9">
        <v>2054</v>
      </c>
      <c r="AO39" s="9">
        <v>2055</v>
      </c>
      <c r="AP39" s="9">
        <v>2056</v>
      </c>
      <c r="AQ39" s="9">
        <v>2057</v>
      </c>
      <c r="AR39" s="9">
        <v>2058</v>
      </c>
      <c r="AS39" s="9">
        <v>2059</v>
      </c>
      <c r="AT39" s="9">
        <v>2060</v>
      </c>
      <c r="AU39" s="9">
        <v>2061</v>
      </c>
      <c r="AV39" s="9">
        <v>2062</v>
      </c>
      <c r="AW39" s="9">
        <v>2063</v>
      </c>
      <c r="AX39" s="9">
        <v>2064</v>
      </c>
      <c r="AY39" s="9">
        <v>2065</v>
      </c>
      <c r="AZ39" s="9">
        <v>2066</v>
      </c>
      <c r="BA39" s="9">
        <v>2067</v>
      </c>
      <c r="BB39" s="9">
        <v>2068</v>
      </c>
      <c r="BC39" s="9">
        <v>2069</v>
      </c>
      <c r="BD39" s="9">
        <v>2070</v>
      </c>
      <c r="BE39" s="9">
        <v>2071</v>
      </c>
      <c r="BF39" s="9">
        <v>2072</v>
      </c>
      <c r="BG39" s="9">
        <v>2073</v>
      </c>
      <c r="BH39" s="9">
        <v>2074</v>
      </c>
      <c r="BI39" s="9">
        <v>2075</v>
      </c>
      <c r="BJ39" s="9">
        <v>2076</v>
      </c>
      <c r="BK39" s="9">
        <v>2077</v>
      </c>
      <c r="BL39" s="9">
        <v>2078</v>
      </c>
      <c r="BM39" s="9">
        <v>2079</v>
      </c>
      <c r="BN39" s="9">
        <v>2080</v>
      </c>
      <c r="BO39" s="9">
        <v>2081</v>
      </c>
      <c r="BP39" s="9">
        <v>2082</v>
      </c>
      <c r="BQ39" s="9">
        <v>2083</v>
      </c>
      <c r="BR39" s="9">
        <v>2084</v>
      </c>
      <c r="BS39" s="9">
        <v>2085</v>
      </c>
      <c r="BT39" s="9">
        <v>2086</v>
      </c>
      <c r="BU39" s="9">
        <v>2087</v>
      </c>
      <c r="BV39" s="9">
        <v>2088</v>
      </c>
      <c r="BW39" s="9">
        <v>2089</v>
      </c>
      <c r="BX39" s="9">
        <v>2090</v>
      </c>
      <c r="BY39" s="9">
        <v>2091</v>
      </c>
      <c r="BZ39" s="9">
        <v>2092</v>
      </c>
      <c r="CA39" s="9">
        <v>2093</v>
      </c>
      <c r="CB39" s="9">
        <v>2094</v>
      </c>
      <c r="CC39" s="9">
        <v>2095</v>
      </c>
      <c r="CD39" s="9">
        <v>2096</v>
      </c>
      <c r="CE39" s="9">
        <v>2097</v>
      </c>
      <c r="CF39" s="9">
        <v>2098</v>
      </c>
      <c r="CG39" s="9">
        <v>2099</v>
      </c>
      <c r="CH39" s="9">
        <v>2100</v>
      </c>
    </row>
    <row r="40" spans="1:86" s="51" customFormat="1" x14ac:dyDescent="0.25">
      <c r="A40" s="1"/>
      <c r="B40" s="1" t="s">
        <v>20</v>
      </c>
      <c r="C40" s="11">
        <f>'Raw CF'!G10</f>
        <v>464</v>
      </c>
      <c r="D40" s="11">
        <f>'Raw CF'!H10</f>
        <v>531</v>
      </c>
      <c r="E40" s="11">
        <f>'Raw CF'!I10</f>
        <v>557</v>
      </c>
      <c r="F40" s="11">
        <f>'Raw CF'!B10</f>
        <v>611</v>
      </c>
      <c r="G40" s="11">
        <f>'Raw CF'!C10</f>
        <v>651</v>
      </c>
      <c r="H40" s="11">
        <f>'Raw CF'!D10</f>
        <v>727</v>
      </c>
      <c r="I40" s="20">
        <v>719.75</v>
      </c>
      <c r="J40" s="90">
        <v>759.83</v>
      </c>
      <c r="K40" s="90">
        <v>796.78</v>
      </c>
      <c r="L40" s="90">
        <v>870.2</v>
      </c>
      <c r="M40" s="90">
        <v>871.67</v>
      </c>
      <c r="N40" s="90">
        <v>925.67</v>
      </c>
      <c r="O40" s="90">
        <v>977</v>
      </c>
      <c r="P40" s="90">
        <v>1030</v>
      </c>
      <c r="Q40" s="90">
        <v>1090</v>
      </c>
      <c r="R40" s="90">
        <v>1150</v>
      </c>
    </row>
    <row r="41" spans="1:86" s="51" customFormat="1" x14ac:dyDescent="0.25">
      <c r="A41" s="1"/>
      <c r="B41" s="78" t="s">
        <v>16</v>
      </c>
      <c r="C41" s="79">
        <f t="shared" ref="C41:H41" si="22">C40/C11</f>
        <v>3.9242219215155617E-2</v>
      </c>
      <c r="D41" s="79">
        <f t="shared" si="22"/>
        <v>3.8807279105459329E-2</v>
      </c>
      <c r="E41" s="79">
        <f t="shared" si="22"/>
        <v>3.7475610576599608E-2</v>
      </c>
      <c r="F41" s="79">
        <f t="shared" si="22"/>
        <v>4.2745207779487898E-2</v>
      </c>
      <c r="G41" s="79">
        <f t="shared" si="22"/>
        <v>4.0148011100832562E-2</v>
      </c>
      <c r="H41" s="79">
        <f t="shared" si="22"/>
        <v>4.0987765687545807E-2</v>
      </c>
      <c r="I41" s="80">
        <v>5.8646448879473741E-2</v>
      </c>
      <c r="J41" s="81">
        <v>5.6974666246189437E-2</v>
      </c>
      <c r="K41" s="81">
        <v>5.4408260524225593E-2</v>
      </c>
      <c r="L41" s="81">
        <v>4.8901151174959578E-2</v>
      </c>
      <c r="M41" s="81">
        <v>4.9001306701512051E-2</v>
      </c>
      <c r="N41" s="81">
        <v>4.0386230058774147E-2</v>
      </c>
      <c r="O41" s="81">
        <v>4.0386230058774147E-2</v>
      </c>
      <c r="P41" s="81">
        <v>4.0386230058774147E-2</v>
      </c>
      <c r="Q41" s="81">
        <v>4.0386230058774147E-2</v>
      </c>
      <c r="R41" s="81">
        <v>4.0386230058774147E-2</v>
      </c>
    </row>
    <row r="42" spans="1:86" s="51" customFormat="1" x14ac:dyDescent="0.25">
      <c r="A42" s="1"/>
      <c r="B42" s="1"/>
      <c r="C42" s="1"/>
      <c r="D42" s="1"/>
      <c r="E42" s="2"/>
      <c r="F42" s="1"/>
      <c r="G42" s="1"/>
      <c r="H42" s="1"/>
      <c r="I42" s="12"/>
      <c r="J42" s="92"/>
      <c r="K42" s="92"/>
      <c r="L42" s="92"/>
      <c r="M42" s="92"/>
      <c r="N42" s="92"/>
      <c r="O42" s="92"/>
      <c r="P42" s="92"/>
      <c r="Q42" s="92"/>
      <c r="R42" s="92"/>
    </row>
    <row r="43" spans="1:86" s="51" customFormat="1" x14ac:dyDescent="0.25">
      <c r="A43" s="1"/>
      <c r="B43" s="1" t="s">
        <v>21</v>
      </c>
      <c r="C43" s="11">
        <f>'Raw CF'!G40</f>
        <v>-504</v>
      </c>
      <c r="D43" s="11">
        <f>'Raw CF'!H40</f>
        <v>-629</v>
      </c>
      <c r="E43" s="11">
        <f>'Raw CF'!I40</f>
        <v>-744</v>
      </c>
      <c r="F43" s="37">
        <f>'Raw CF'!B33</f>
        <v>-623</v>
      </c>
      <c r="G43" s="37">
        <f>'Raw CF'!C33</f>
        <v>-637</v>
      </c>
      <c r="H43" s="37">
        <f>'Raw CF'!D33</f>
        <v>-1040</v>
      </c>
      <c r="I43" s="20">
        <v>-973.32</v>
      </c>
      <c r="J43" s="90">
        <v>-894.24</v>
      </c>
      <c r="K43" s="90">
        <v>-923.72</v>
      </c>
      <c r="L43" s="90">
        <v>-905.95</v>
      </c>
      <c r="M43" s="90">
        <v>-947.26</v>
      </c>
      <c r="N43" s="90">
        <v>-956</v>
      </c>
      <c r="O43" s="90">
        <v>-1010</v>
      </c>
      <c r="P43" s="90">
        <v>-1060</v>
      </c>
      <c r="Q43" s="90">
        <v>-1120</v>
      </c>
      <c r="R43" s="90">
        <v>-1180</v>
      </c>
    </row>
    <row r="44" spans="1:86" s="51" customFormat="1" x14ac:dyDescent="0.25">
      <c r="A44" s="1"/>
      <c r="B44" s="78" t="s">
        <v>16</v>
      </c>
      <c r="C44" s="79">
        <f t="shared" ref="C44:H44" si="23">C43/C11</f>
        <v>-4.2625169147496617E-2</v>
      </c>
      <c r="D44" s="79">
        <f t="shared" si="23"/>
        <v>-4.5969451143755023E-2</v>
      </c>
      <c r="E44" s="79">
        <f t="shared" si="23"/>
        <v>-5.0057188992800913E-2</v>
      </c>
      <c r="F44" s="79">
        <f t="shared" si="23"/>
        <v>-4.35847208619001E-2</v>
      </c>
      <c r="G44" s="79">
        <f t="shared" si="23"/>
        <v>-3.9284613012642612E-2</v>
      </c>
      <c r="H44" s="79">
        <f t="shared" si="23"/>
        <v>-5.863449286801601E-2</v>
      </c>
      <c r="I44" s="80">
        <v>-6.2437283978146949E-2</v>
      </c>
      <c r="J44" s="81">
        <v>-6.3912540733732801E-2</v>
      </c>
      <c r="K44" s="81">
        <v>-5.9868943606036555E-2</v>
      </c>
      <c r="L44" s="81">
        <v>-5.7558747978308455E-2</v>
      </c>
      <c r="M44" s="81">
        <v>-5.7558747978308455E-2</v>
      </c>
      <c r="N44" s="81">
        <v>-5.7558747978308455E-2</v>
      </c>
      <c r="O44" s="81">
        <v>-5.7558747978308455E-2</v>
      </c>
      <c r="P44" s="81">
        <v>-5.7558747978308455E-2</v>
      </c>
      <c r="Q44" s="81">
        <v>-5.7558747978308455E-2</v>
      </c>
      <c r="R44" s="81">
        <v>-5.7558747978308455E-2</v>
      </c>
    </row>
    <row r="45" spans="1:86" s="51" customFormat="1" x14ac:dyDescent="0.25">
      <c r="A45" s="1"/>
      <c r="B45" s="1"/>
      <c r="C45" s="1"/>
      <c r="D45" s="1"/>
      <c r="E45" s="2"/>
      <c r="F45" s="1"/>
      <c r="G45" s="1"/>
      <c r="H45" s="1"/>
      <c r="I45" s="12"/>
      <c r="J45" s="92"/>
      <c r="K45" s="92"/>
      <c r="L45" s="92"/>
      <c r="M45" s="92"/>
      <c r="N45" s="92"/>
      <c r="O45" s="92"/>
      <c r="P45" s="92"/>
      <c r="Q45" s="92"/>
      <c r="R45" s="92"/>
    </row>
    <row r="46" spans="1:86" s="51" customFormat="1" x14ac:dyDescent="0.25">
      <c r="A46" s="1"/>
      <c r="B46" s="1" t="s">
        <v>22</v>
      </c>
      <c r="C46" s="73">
        <f>SUM('Raw CF'!G29:G35)</f>
        <v>11</v>
      </c>
      <c r="D46" s="73">
        <f>SUM('Raw CF'!H29:H35)</f>
        <v>564</v>
      </c>
      <c r="E46" s="73">
        <f>SUM('Raw CF'!I29:I35)</f>
        <v>-2</v>
      </c>
      <c r="F46" s="73">
        <f>SUM('Raw CF'!B23:B30)</f>
        <v>-11</v>
      </c>
      <c r="G46" s="73">
        <f>SUM('Raw CF'!C23:C30)</f>
        <v>554</v>
      </c>
      <c r="H46" s="73">
        <f>SUM('Raw CF'!D23:D30)</f>
        <v>-554</v>
      </c>
      <c r="I46" s="20">
        <f t="shared" ref="I46:R46" si="24">I47*I11</f>
        <v>79.2</v>
      </c>
      <c r="J46" s="90">
        <f t="shared" si="24"/>
        <v>87.65</v>
      </c>
      <c r="K46" s="90">
        <f t="shared" si="24"/>
        <v>95.8</v>
      </c>
      <c r="L46" s="90">
        <f t="shared" si="24"/>
        <v>104.15</v>
      </c>
      <c r="M46" s="90">
        <f t="shared" si="24"/>
        <v>111.15</v>
      </c>
      <c r="N46" s="90">
        <f t="shared" si="24"/>
        <v>119.5</v>
      </c>
      <c r="O46" s="90">
        <f t="shared" si="24"/>
        <v>127.7</v>
      </c>
      <c r="P46" s="90">
        <f t="shared" si="24"/>
        <v>136.45000000000002</v>
      </c>
      <c r="Q46" s="90">
        <f t="shared" si="24"/>
        <v>145.90000000000003</v>
      </c>
      <c r="R46" s="90">
        <f t="shared" si="24"/>
        <v>156</v>
      </c>
    </row>
    <row r="47" spans="1:86" s="51" customFormat="1" x14ac:dyDescent="0.25">
      <c r="A47" s="1"/>
      <c r="B47" s="78" t="s">
        <v>16</v>
      </c>
      <c r="C47" s="79">
        <f t="shared" ref="C47:H47" si="25">C46/C11</f>
        <v>9.3031123139377541E-4</v>
      </c>
      <c r="D47" s="79">
        <f t="shared" si="25"/>
        <v>4.1219030914273189E-2</v>
      </c>
      <c r="E47" s="79">
        <f t="shared" si="25"/>
        <v>-1.3456233600215298E-4</v>
      </c>
      <c r="F47" s="79">
        <f t="shared" si="25"/>
        <v>-7.6955365887785079E-4</v>
      </c>
      <c r="G47" s="79">
        <f t="shared" si="25"/>
        <v>3.41658957755165E-2</v>
      </c>
      <c r="H47" s="79">
        <f t="shared" si="25"/>
        <v>-3.1234143316231606E-2</v>
      </c>
      <c r="I47" s="83">
        <v>5.0000000000000001E-3</v>
      </c>
      <c r="J47" s="94">
        <v>5.0000000000000001E-3</v>
      </c>
      <c r="K47" s="94">
        <v>5.0000000000000001E-3</v>
      </c>
      <c r="L47" s="94">
        <v>5.0000000000000001E-3</v>
      </c>
      <c r="M47" s="94">
        <v>5.0000000000000001E-3</v>
      </c>
      <c r="N47" s="94">
        <v>5.0000000000000001E-3</v>
      </c>
      <c r="O47" s="94">
        <v>5.0000000000000001E-3</v>
      </c>
      <c r="P47" s="94">
        <v>5.0000000000000001E-3</v>
      </c>
      <c r="Q47" s="94">
        <v>5.0000000000000001E-3</v>
      </c>
      <c r="R47" s="94">
        <v>5.0000000000000001E-3</v>
      </c>
    </row>
    <row r="48" spans="1:86" s="51" customFormat="1" x14ac:dyDescent="0.25">
      <c r="A48" s="1"/>
      <c r="B48" s="1"/>
      <c r="C48" s="1"/>
      <c r="D48" s="1"/>
      <c r="E48" s="1"/>
      <c r="F48" s="1"/>
      <c r="G48" s="1"/>
      <c r="H48" s="1"/>
      <c r="I48" s="12"/>
      <c r="J48" s="92"/>
      <c r="K48" s="92"/>
      <c r="L48" s="92"/>
      <c r="M48" s="92"/>
      <c r="N48" s="92"/>
      <c r="O48" s="92"/>
      <c r="P48" s="92"/>
      <c r="Q48" s="92"/>
      <c r="R48" s="92"/>
    </row>
    <row r="49" spans="1:86" s="51" customFormat="1" x14ac:dyDescent="0.25">
      <c r="A49" s="1"/>
      <c r="B49" s="9" t="s">
        <v>23</v>
      </c>
      <c r="C49" s="11">
        <f>C33-C36</f>
        <v>1343</v>
      </c>
      <c r="D49" s="11">
        <f t="shared" ref="D49:R49" si="26">D33-D36</f>
        <v>1192</v>
      </c>
      <c r="E49" s="11">
        <f t="shared" si="26"/>
        <v>1800</v>
      </c>
      <c r="F49" s="11">
        <f t="shared" si="26"/>
        <v>256</v>
      </c>
      <c r="G49" s="11">
        <f t="shared" si="26"/>
        <v>2162</v>
      </c>
      <c r="H49" s="11">
        <f t="shared" si="26"/>
        <v>2542</v>
      </c>
      <c r="I49" s="38">
        <f t="shared" si="26"/>
        <v>1204.8833808000011</v>
      </c>
      <c r="J49" s="95">
        <f t="shared" si="26"/>
        <v>2046.3820800000003</v>
      </c>
      <c r="K49" s="95">
        <f t="shared" si="26"/>
        <v>2686.6151999999988</v>
      </c>
      <c r="L49" s="95">
        <f t="shared" si="26"/>
        <v>3474.8606</v>
      </c>
      <c r="M49" s="95">
        <f t="shared" si="26"/>
        <v>3809.7774000000013</v>
      </c>
      <c r="N49" s="95">
        <f t="shared" si="26"/>
        <v>4105.0640000000012</v>
      </c>
      <c r="O49" s="95">
        <f t="shared" si="26"/>
        <v>4444.981600000001</v>
      </c>
      <c r="P49" s="95">
        <f t="shared" si="26"/>
        <v>4811.7727999999988</v>
      </c>
      <c r="Q49" s="95">
        <f t="shared" si="26"/>
        <v>5211.5480000000007</v>
      </c>
      <c r="R49" s="95">
        <f t="shared" si="26"/>
        <v>5596.0320000000011</v>
      </c>
    </row>
    <row r="50" spans="1:86" s="51" customFormat="1" x14ac:dyDescent="0.25">
      <c r="A50" s="1"/>
      <c r="B50" s="9" t="s">
        <v>50</v>
      </c>
      <c r="C50" s="11">
        <f>'Raw IS'!G32</f>
        <v>-7</v>
      </c>
      <c r="D50" s="11">
        <f>'Raw IS'!H32</f>
        <v>-9</v>
      </c>
      <c r="E50" s="11">
        <f>'Raw IS'!I32</f>
        <v>-9</v>
      </c>
      <c r="F50" s="11">
        <f>'Raw IS'!B29</f>
        <v>-12</v>
      </c>
      <c r="G50" s="11">
        <f>'Raw IS'!C29+'Raw IS'!C31</f>
        <v>-5</v>
      </c>
      <c r="H50" s="11">
        <f>'Raw IS'!D29+'Raw IS'!D31</f>
        <v>-18</v>
      </c>
      <c r="I50" s="38">
        <v>-10</v>
      </c>
      <c r="J50" s="95">
        <v>-10</v>
      </c>
      <c r="K50" s="95">
        <v>-10</v>
      </c>
      <c r="L50" s="95">
        <v>-10</v>
      </c>
      <c r="M50" s="95">
        <v>-10</v>
      </c>
      <c r="N50" s="95">
        <v>-10</v>
      </c>
      <c r="O50" s="95">
        <v>-10</v>
      </c>
      <c r="P50" s="95">
        <v>-10</v>
      </c>
      <c r="Q50" s="95">
        <v>-10</v>
      </c>
      <c r="R50" s="95">
        <v>-10</v>
      </c>
    </row>
    <row r="51" spans="1:86" s="51" customFormat="1" x14ac:dyDescent="0.25">
      <c r="A51" s="1"/>
      <c r="B51" s="9" t="s">
        <v>24</v>
      </c>
      <c r="C51" s="11">
        <f>C31-C36+C50</f>
        <v>1249</v>
      </c>
      <c r="D51" s="11">
        <f t="shared" ref="C51:G51" si="27">D31-D36+D50</f>
        <v>1108</v>
      </c>
      <c r="E51" s="11">
        <f t="shared" si="27"/>
        <v>1785</v>
      </c>
      <c r="F51" s="11">
        <f t="shared" si="27"/>
        <v>684</v>
      </c>
      <c r="G51" s="11">
        <f t="shared" si="27"/>
        <v>2870</v>
      </c>
      <c r="H51" s="11">
        <f>H31-H36+H50</f>
        <v>2390</v>
      </c>
      <c r="I51" s="38">
        <f t="shared" ref="I51:R51" si="28">I31-I36+I50</f>
        <v>1036.483380800001</v>
      </c>
      <c r="J51" s="95">
        <f t="shared" si="28"/>
        <v>1948.7320800000002</v>
      </c>
      <c r="K51" s="95">
        <f t="shared" si="28"/>
        <v>2580.8151999999986</v>
      </c>
      <c r="L51" s="95">
        <f t="shared" si="28"/>
        <v>3256.5605999999998</v>
      </c>
      <c r="M51" s="95">
        <f t="shared" si="28"/>
        <v>3688.6274000000017</v>
      </c>
      <c r="N51" s="95">
        <f t="shared" si="28"/>
        <v>3975.5640000000012</v>
      </c>
      <c r="O51" s="95">
        <f t="shared" si="28"/>
        <v>4307.2816000000021</v>
      </c>
      <c r="P51" s="95">
        <f t="shared" si="28"/>
        <v>4665.3227999999999</v>
      </c>
      <c r="Q51" s="95">
        <f t="shared" si="28"/>
        <v>5055.648000000001</v>
      </c>
      <c r="R51" s="95">
        <f t="shared" si="28"/>
        <v>5430.0320000000011</v>
      </c>
      <c r="S51" s="52">
        <f>R51*(1+$E$6)</f>
        <v>5647.2332800000013</v>
      </c>
      <c r="T51" s="52">
        <f t="shared" ref="T51:CE51" si="29">S51*(1+$E$6)</f>
        <v>5873.1226112000013</v>
      </c>
      <c r="U51" s="52">
        <f t="shared" si="29"/>
        <v>6108.0475156480015</v>
      </c>
      <c r="V51" s="52">
        <f t="shared" si="29"/>
        <v>6352.3694162739221</v>
      </c>
      <c r="W51" s="52">
        <f t="shared" si="29"/>
        <v>6606.4641929248792</v>
      </c>
      <c r="X51" s="52">
        <f t="shared" si="29"/>
        <v>6870.7227606418746</v>
      </c>
      <c r="Y51" s="52">
        <f t="shared" si="29"/>
        <v>7145.5516710675502</v>
      </c>
      <c r="Z51" s="52">
        <f t="shared" si="29"/>
        <v>7431.3737379102522</v>
      </c>
      <c r="AA51" s="52">
        <f t="shared" si="29"/>
        <v>7728.6286874266625</v>
      </c>
      <c r="AB51" s="52">
        <f t="shared" si="29"/>
        <v>8037.7738349237297</v>
      </c>
      <c r="AC51" s="52">
        <f t="shared" si="29"/>
        <v>8359.2847883206796</v>
      </c>
      <c r="AD51" s="52">
        <f t="shared" si="29"/>
        <v>8693.6561798535076</v>
      </c>
      <c r="AE51" s="52">
        <f t="shared" si="29"/>
        <v>9041.4024270476475</v>
      </c>
      <c r="AF51" s="52">
        <f t="shared" si="29"/>
        <v>9403.0585241295539</v>
      </c>
      <c r="AG51" s="52">
        <f t="shared" si="29"/>
        <v>9779.1808650947369</v>
      </c>
      <c r="AH51" s="52">
        <f t="shared" si="29"/>
        <v>10170.348099698527</v>
      </c>
      <c r="AI51" s="52">
        <f t="shared" si="29"/>
        <v>10577.162023686469</v>
      </c>
      <c r="AJ51" s="52">
        <f t="shared" si="29"/>
        <v>11000.248504633928</v>
      </c>
      <c r="AK51" s="52">
        <f t="shared" si="29"/>
        <v>11440.258444819285</v>
      </c>
      <c r="AL51" s="52">
        <f t="shared" si="29"/>
        <v>11897.868782612057</v>
      </c>
      <c r="AM51" s="52">
        <f t="shared" si="29"/>
        <v>12373.783533916539</v>
      </c>
      <c r="AN51" s="52">
        <f t="shared" si="29"/>
        <v>12868.734875273201</v>
      </c>
      <c r="AO51" s="52">
        <f t="shared" si="29"/>
        <v>13383.484270284131</v>
      </c>
      <c r="AP51" s="52">
        <f t="shared" si="29"/>
        <v>13918.823641095496</v>
      </c>
      <c r="AQ51" s="52">
        <f t="shared" si="29"/>
        <v>14475.576586739317</v>
      </c>
      <c r="AR51" s="52">
        <f t="shared" si="29"/>
        <v>15054.599650208889</v>
      </c>
      <c r="AS51" s="52">
        <f t="shared" si="29"/>
        <v>15656.783636217246</v>
      </c>
      <c r="AT51" s="52">
        <f t="shared" si="29"/>
        <v>16283.054981665937</v>
      </c>
      <c r="AU51" s="52">
        <f t="shared" si="29"/>
        <v>16934.377180932574</v>
      </c>
      <c r="AV51" s="52">
        <f t="shared" si="29"/>
        <v>17611.752268169876</v>
      </c>
      <c r="AW51" s="52">
        <f t="shared" si="29"/>
        <v>18316.22235889667</v>
      </c>
      <c r="AX51" s="52">
        <f t="shared" si="29"/>
        <v>19048.871253252539</v>
      </c>
      <c r="AY51" s="52">
        <f t="shared" si="29"/>
        <v>19810.826103382642</v>
      </c>
      <c r="AZ51" s="52">
        <f t="shared" si="29"/>
        <v>20603.259147517947</v>
      </c>
      <c r="BA51" s="52">
        <f t="shared" si="29"/>
        <v>21427.389513418664</v>
      </c>
      <c r="BB51" s="52">
        <f t="shared" si="29"/>
        <v>22284.485093955413</v>
      </c>
      <c r="BC51" s="52">
        <f t="shared" si="29"/>
        <v>23175.864497713628</v>
      </c>
      <c r="BD51" s="52">
        <f t="shared" si="29"/>
        <v>24102.899077622173</v>
      </c>
      <c r="BE51" s="52">
        <f t="shared" si="29"/>
        <v>25067.015040727059</v>
      </c>
      <c r="BF51" s="52">
        <f t="shared" si="29"/>
        <v>26069.695642356142</v>
      </c>
      <c r="BG51" s="52">
        <f t="shared" si="29"/>
        <v>27112.483468050388</v>
      </c>
      <c r="BH51" s="52">
        <f t="shared" si="29"/>
        <v>28196.982806772405</v>
      </c>
      <c r="BI51" s="52">
        <f t="shared" si="29"/>
        <v>29324.8621190433</v>
      </c>
      <c r="BJ51" s="52">
        <f t="shared" si="29"/>
        <v>30497.856603805034</v>
      </c>
      <c r="BK51" s="52">
        <f t="shared" si="29"/>
        <v>31717.770867957235</v>
      </c>
      <c r="BL51" s="52">
        <f t="shared" si="29"/>
        <v>32986.481702675526</v>
      </c>
      <c r="BM51" s="52">
        <f t="shared" si="29"/>
        <v>34305.940970782547</v>
      </c>
      <c r="BN51" s="52">
        <f t="shared" si="29"/>
        <v>35678.178609613853</v>
      </c>
      <c r="BO51" s="52">
        <f t="shared" si="29"/>
        <v>37105.305753998407</v>
      </c>
      <c r="BP51" s="52">
        <f t="shared" si="29"/>
        <v>38589.517984158345</v>
      </c>
      <c r="BQ51" s="52">
        <f t="shared" si="29"/>
        <v>40133.09870352468</v>
      </c>
      <c r="BR51" s="52">
        <f t="shared" si="29"/>
        <v>41738.422651665671</v>
      </c>
      <c r="BS51" s="52">
        <f t="shared" si="29"/>
        <v>43407.959557732298</v>
      </c>
      <c r="BT51" s="52">
        <f t="shared" si="29"/>
        <v>45144.277940041589</v>
      </c>
      <c r="BU51" s="52">
        <f t="shared" si="29"/>
        <v>46950.049057643257</v>
      </c>
      <c r="BV51" s="52">
        <f t="shared" si="29"/>
        <v>48828.051019948987</v>
      </c>
      <c r="BW51" s="52">
        <f t="shared" si="29"/>
        <v>50781.173060746951</v>
      </c>
      <c r="BX51" s="52">
        <f t="shared" si="29"/>
        <v>52812.419983176827</v>
      </c>
      <c r="BY51" s="52">
        <f t="shared" si="29"/>
        <v>54924.916782503904</v>
      </c>
      <c r="BZ51" s="52">
        <f t="shared" si="29"/>
        <v>57121.91345380406</v>
      </c>
      <c r="CA51" s="52">
        <f t="shared" si="29"/>
        <v>59406.789991956226</v>
      </c>
      <c r="CB51" s="52">
        <f t="shared" si="29"/>
        <v>61783.061591634476</v>
      </c>
      <c r="CC51" s="52">
        <f t="shared" si="29"/>
        <v>64254.384055299859</v>
      </c>
      <c r="CD51" s="52">
        <f t="shared" si="29"/>
        <v>66824.55941751186</v>
      </c>
      <c r="CE51" s="52">
        <f t="shared" si="29"/>
        <v>69497.541794212331</v>
      </c>
      <c r="CF51" s="52">
        <f t="shared" ref="CF51:CH51" si="30">CE51*(1+$E$6)</f>
        <v>72277.443465980832</v>
      </c>
      <c r="CG51" s="52">
        <f t="shared" si="30"/>
        <v>75168.541204620065</v>
      </c>
      <c r="CH51" s="52">
        <f t="shared" si="30"/>
        <v>78175.28285280487</v>
      </c>
    </row>
    <row r="52" spans="1:86" s="51" customFormat="1" x14ac:dyDescent="0.25">
      <c r="A52" s="1"/>
      <c r="B52" s="6"/>
      <c r="C52" s="11"/>
      <c r="D52" s="11"/>
      <c r="E52" s="11"/>
      <c r="F52" s="11"/>
      <c r="G52" s="11"/>
      <c r="H52" s="11"/>
      <c r="I52" s="38"/>
      <c r="J52" s="95"/>
      <c r="K52" s="95"/>
      <c r="L52" s="95"/>
      <c r="M52" s="95"/>
      <c r="N52" s="95"/>
      <c r="O52" s="95"/>
      <c r="P52" s="95"/>
      <c r="Q52" s="95"/>
      <c r="R52" s="95"/>
      <c r="S52" s="52"/>
      <c r="T52" s="52"/>
      <c r="U52" s="52"/>
      <c r="V52" s="52"/>
      <c r="W52" s="52"/>
      <c r="X52" s="52"/>
      <c r="Y52" s="52"/>
      <c r="Z52" s="52"/>
      <c r="AA52" s="52"/>
      <c r="AB52" s="52"/>
      <c r="AC52" s="52"/>
      <c r="AD52" s="52"/>
      <c r="AE52" s="52"/>
      <c r="AF52" s="52"/>
      <c r="AG52" s="52"/>
      <c r="AH52" s="52"/>
      <c r="AI52" s="52"/>
      <c r="AJ52" s="52"/>
      <c r="AK52" s="52"/>
      <c r="AL52" s="52"/>
      <c r="AM52" s="52"/>
      <c r="AN52" s="52"/>
      <c r="AO52" s="52"/>
      <c r="AP52" s="52"/>
      <c r="AQ52" s="52"/>
      <c r="AR52" s="52"/>
      <c r="AS52" s="52"/>
      <c r="AT52" s="52"/>
      <c r="AU52" s="52"/>
      <c r="AV52" s="52"/>
      <c r="AW52" s="52"/>
      <c r="AX52" s="52"/>
      <c r="AY52" s="52"/>
      <c r="AZ52" s="52"/>
      <c r="BA52" s="52"/>
      <c r="BB52" s="52"/>
      <c r="BC52" s="52"/>
      <c r="BD52" s="52"/>
      <c r="BE52" s="52"/>
      <c r="BF52" s="52"/>
      <c r="BG52" s="52"/>
      <c r="BH52" s="52"/>
      <c r="BI52" s="52"/>
      <c r="BJ52" s="52"/>
      <c r="BK52" s="52"/>
      <c r="BL52" s="52"/>
      <c r="BM52" s="52"/>
      <c r="BN52" s="52"/>
      <c r="BO52" s="52"/>
      <c r="BP52" s="52"/>
      <c r="BQ52" s="52"/>
      <c r="BR52" s="52"/>
      <c r="BS52" s="52"/>
      <c r="BT52" s="52"/>
      <c r="BU52" s="52"/>
      <c r="BV52" s="52"/>
      <c r="BW52" s="52"/>
      <c r="BX52" s="52"/>
      <c r="BY52" s="52"/>
      <c r="BZ52" s="52"/>
      <c r="CA52" s="52"/>
      <c r="CB52" s="52"/>
      <c r="CC52" s="52"/>
      <c r="CD52" s="52"/>
      <c r="CE52" s="52"/>
      <c r="CF52" s="52"/>
      <c r="CG52" s="52"/>
      <c r="CH52" s="52"/>
    </row>
    <row r="53" spans="1:86" s="51" customFormat="1" x14ac:dyDescent="0.25">
      <c r="A53" s="1"/>
      <c r="B53" s="6"/>
      <c r="C53" s="11"/>
      <c r="D53" s="11"/>
      <c r="E53" s="11"/>
      <c r="F53" s="11"/>
      <c r="G53" s="11"/>
      <c r="H53" s="11"/>
      <c r="I53" s="12"/>
      <c r="J53" s="92"/>
      <c r="K53" s="92"/>
      <c r="L53" s="92"/>
      <c r="M53" s="92"/>
      <c r="N53" s="92"/>
      <c r="O53" s="92"/>
      <c r="P53" s="92"/>
      <c r="Q53" s="92"/>
      <c r="R53" s="92"/>
    </row>
    <row r="54" spans="1:86" s="51" customFormat="1" x14ac:dyDescent="0.25">
      <c r="A54" s="1"/>
      <c r="B54" s="9" t="s">
        <v>25</v>
      </c>
      <c r="C54" s="11">
        <f>C49+C40+C43-C46</f>
        <v>1292</v>
      </c>
      <c r="D54" s="11">
        <f>D49+D40+D43-D46</f>
        <v>530</v>
      </c>
      <c r="E54" s="11">
        <f>E49+E40+E43-E46</f>
        <v>1615</v>
      </c>
      <c r="F54" s="11">
        <f>F49+F40+F43-F46</f>
        <v>255</v>
      </c>
      <c r="G54" s="11">
        <f>G49+G40+G43-G46</f>
        <v>1622</v>
      </c>
      <c r="H54" s="11">
        <f>H49+H40+H43-H46</f>
        <v>2783</v>
      </c>
      <c r="I54" s="38">
        <f>I49+I40+I43-I46</f>
        <v>872.11338080000098</v>
      </c>
      <c r="J54" s="95">
        <f>J49+J40+J43-J46</f>
        <v>1824.3220800000001</v>
      </c>
      <c r="K54" s="95">
        <f>K49+K40+K43-K46</f>
        <v>2463.8751999999986</v>
      </c>
      <c r="L54" s="95">
        <f>L49+L40+L43-L46</f>
        <v>3334.9605999999999</v>
      </c>
      <c r="M54" s="95">
        <f>M49+M40+M43-M46</f>
        <v>3623.0374000000006</v>
      </c>
      <c r="N54" s="95">
        <f>N49+N40+N43-N46</f>
        <v>3955.2340000000013</v>
      </c>
      <c r="O54" s="95">
        <f>O49+O40+O43-O46</f>
        <v>4284.2816000000012</v>
      </c>
      <c r="P54" s="95">
        <f>P49+P40+P43-P46</f>
        <v>4645.322799999999</v>
      </c>
      <c r="Q54" s="95">
        <f>Q49+Q40+Q43-Q46</f>
        <v>5035.648000000001</v>
      </c>
      <c r="R54" s="95">
        <f>R49+R40+R43-R46</f>
        <v>5410.0320000000011</v>
      </c>
    </row>
    <row r="55" spans="1:86" s="51" customFormat="1" x14ac:dyDescent="0.25">
      <c r="A55" s="1"/>
      <c r="B55" s="24" t="s">
        <v>26</v>
      </c>
      <c r="C55" s="1"/>
      <c r="D55" s="1"/>
      <c r="E55" s="1"/>
      <c r="F55" s="1"/>
      <c r="G55" s="1"/>
      <c r="H55" s="1"/>
      <c r="I55" s="75">
        <f>I54/((1+$E$5)^I9)</f>
        <v>798.17802513145193</v>
      </c>
      <c r="J55" s="76">
        <f>J54/((1+$E$5)^J9)</f>
        <v>1528.1118675383</v>
      </c>
      <c r="K55" s="76">
        <f>K54/((1+$E$5)^K9)</f>
        <v>1888.8573362217542</v>
      </c>
      <c r="L55" s="76">
        <f>L54/((1+$E$5)^L9)</f>
        <v>2339.9036534688676</v>
      </c>
      <c r="M55" s="76">
        <f>M54/((1+$E$5)^M9)</f>
        <v>2326.5206000300732</v>
      </c>
      <c r="N55" s="76">
        <f>N54/((1+$E$5)^N9)</f>
        <v>2324.5189152606113</v>
      </c>
      <c r="O55" s="76">
        <f>O54/((1+$E$5)^O9)</f>
        <v>2304.4417129767962</v>
      </c>
      <c r="P55" s="76">
        <f>P54/((1+$E$5)^P9)</f>
        <v>2286.8118518173505</v>
      </c>
      <c r="Q55" s="76">
        <f>Q54/((1+$E$5)^Q9)</f>
        <v>2268.8026345508106</v>
      </c>
      <c r="R55" s="76">
        <f>R54/((1+$E$5)^R9)</f>
        <v>2230.8378486193742</v>
      </c>
    </row>
    <row r="56" spans="1:86" s="51" customFormat="1" x14ac:dyDescent="0.25">
      <c r="A56" s="1"/>
      <c r="B56" s="25"/>
      <c r="C56" s="25"/>
      <c r="D56" s="25"/>
      <c r="E56" s="25"/>
      <c r="F56" s="25"/>
      <c r="G56" s="25"/>
      <c r="H56" s="25"/>
      <c r="I56" s="77"/>
      <c r="J56" s="1"/>
      <c r="K56" s="1"/>
      <c r="L56" s="1"/>
      <c r="M56" s="1"/>
      <c r="N56" s="1"/>
      <c r="O56" s="1"/>
      <c r="P56" s="1"/>
      <c r="Q56" s="1"/>
      <c r="R56" s="1"/>
    </row>
    <row r="57" spans="1:86" s="51" customFormat="1" x14ac:dyDescent="0.25">
      <c r="A57" s="1"/>
      <c r="B57" s="1" t="s">
        <v>27</v>
      </c>
      <c r="C57" s="26">
        <f>(R54*(1+$E$6))/($E$5-$E$6)</f>
        <v>106905.12086404508</v>
      </c>
      <c r="D57" s="1"/>
      <c r="E57" s="1" t="s">
        <v>28</v>
      </c>
      <c r="F57" s="18">
        <f>NPV($E$5,I51:CH51)</f>
        <v>63383.766804513471</v>
      </c>
      <c r="G57" s="1"/>
      <c r="H57" s="1"/>
      <c r="I57" s="15"/>
      <c r="J57" s="1"/>
      <c r="K57" s="1"/>
      <c r="L57" s="1"/>
      <c r="M57" s="1"/>
      <c r="N57" s="1"/>
      <c r="O57" s="1"/>
      <c r="P57" s="1"/>
      <c r="Q57" s="1"/>
      <c r="R57" s="2"/>
    </row>
    <row r="58" spans="1:86" s="51" customFormat="1" x14ac:dyDescent="0.25">
      <c r="A58" s="1"/>
      <c r="B58" s="3" t="s">
        <v>29</v>
      </c>
      <c r="C58" s="27">
        <f>C57/((1+$E$5)^$R$9)</f>
        <v>44082.546985810885</v>
      </c>
      <c r="D58" s="16"/>
      <c r="E58" s="3"/>
      <c r="F58" s="3"/>
      <c r="G58" s="3"/>
      <c r="H58" s="16"/>
      <c r="I58" s="12"/>
      <c r="J58" s="1"/>
      <c r="K58" s="2"/>
      <c r="L58" s="85" t="s">
        <v>64</v>
      </c>
      <c r="M58" s="85"/>
      <c r="N58" s="85"/>
      <c r="O58" s="85"/>
      <c r="P58" s="85"/>
      <c r="Q58" s="85"/>
      <c r="R58" s="2"/>
    </row>
    <row r="59" spans="1:86" x14ac:dyDescent="0.25">
      <c r="A59" s="1"/>
      <c r="B59" s="6" t="s">
        <v>30</v>
      </c>
      <c r="C59" s="6"/>
      <c r="D59" s="1"/>
      <c r="E59" s="6"/>
      <c r="F59" s="6"/>
      <c r="G59" s="28" t="s">
        <v>31</v>
      </c>
      <c r="H59" s="28" t="s">
        <v>28</v>
      </c>
      <c r="I59" s="15"/>
      <c r="J59" s="1"/>
      <c r="K59" s="53"/>
      <c r="L59" s="58">
        <f>E65</f>
        <v>176.9175876549977</v>
      </c>
      <c r="M59" s="84">
        <v>-0.01</v>
      </c>
      <c r="N59" s="84">
        <v>0.01</v>
      </c>
      <c r="O59" s="84">
        <v>0.02</v>
      </c>
      <c r="P59" s="84">
        <v>0.03</v>
      </c>
      <c r="Q59" s="84">
        <v>0.04</v>
      </c>
    </row>
    <row r="60" spans="1:86" x14ac:dyDescent="0.25">
      <c r="A60" s="1"/>
      <c r="B60" s="29" t="s">
        <v>32</v>
      </c>
      <c r="C60" s="1"/>
      <c r="D60" s="23">
        <v>5531</v>
      </c>
      <c r="E60" s="1"/>
      <c r="F60" s="1"/>
      <c r="G60" s="26">
        <f>C58+SUM(I55:R55)</f>
        <v>64379.531431426272</v>
      </c>
      <c r="H60" s="18">
        <f>F57</f>
        <v>63383.766804513471</v>
      </c>
      <c r="I60" s="15"/>
      <c r="K60" s="53"/>
      <c r="L60" s="55">
        <f>L61-1%</f>
        <v>9.1077135070908435E-2</v>
      </c>
      <c r="M60" s="59">
        <f t="dataTable" ref="M60:Q64" dt2D="1" dtr="1" r1="E6" r2="E5"/>
        <v>118.07889264221285</v>
      </c>
      <c r="N60" s="59">
        <v>134.80248996011716</v>
      </c>
      <c r="O60" s="59">
        <v>146.55171812962422</v>
      </c>
      <c r="P60" s="59">
        <v>161.89425851028304</v>
      </c>
      <c r="Q60" s="59">
        <v>182.66078501484753</v>
      </c>
    </row>
    <row r="61" spans="1:86" x14ac:dyDescent="0.25">
      <c r="A61" s="1"/>
      <c r="B61" s="30" t="s">
        <v>33</v>
      </c>
      <c r="C61" s="3"/>
      <c r="D61" s="89">
        <f>7700-1520</f>
        <v>6180</v>
      </c>
      <c r="E61" s="3"/>
      <c r="F61" s="3"/>
      <c r="G61" s="3"/>
      <c r="H61" s="3"/>
      <c r="I61" s="15"/>
      <c r="K61" s="54"/>
      <c r="L61" s="55">
        <f>L62-1%</f>
        <v>0.10107713507090843</v>
      </c>
      <c r="M61" s="59">
        <v>104.53089798547697</v>
      </c>
      <c r="N61" s="60">
        <v>117.061731207582</v>
      </c>
      <c r="O61" s="60">
        <v>125.58440905714659</v>
      </c>
      <c r="P61" s="60">
        <v>136.39809058292479</v>
      </c>
      <c r="Q61" s="59">
        <v>150.51320503555183</v>
      </c>
      <c r="R61" s="47"/>
    </row>
    <row r="62" spans="1:86" x14ac:dyDescent="0.25">
      <c r="A62" s="1"/>
      <c r="B62" s="6" t="s">
        <v>34</v>
      </c>
      <c r="C62" s="6"/>
      <c r="D62" s="6"/>
      <c r="E62" s="6"/>
      <c r="F62" s="6"/>
      <c r="G62" s="31">
        <f>G60+D60-D61</f>
        <v>63730.531431426265</v>
      </c>
      <c r="H62" s="32">
        <f>H60+D60-D61</f>
        <v>62734.766804513463</v>
      </c>
      <c r="I62" s="15"/>
      <c r="K62" s="53" t="s">
        <v>1</v>
      </c>
      <c r="L62" s="55">
        <v>0.11107713507090843</v>
      </c>
      <c r="M62" s="59">
        <v>93.35422751316348</v>
      </c>
      <c r="N62" s="60">
        <v>102.92625429563819</v>
      </c>
      <c r="O62" s="61">
        <v>109.26188759989975</v>
      </c>
      <c r="P62" s="60">
        <v>117.11398414032607</v>
      </c>
      <c r="Q62" s="59">
        <v>127.07384420428104</v>
      </c>
    </row>
    <row r="63" spans="1:86" x14ac:dyDescent="0.25">
      <c r="A63" s="1"/>
      <c r="B63" s="3" t="s">
        <v>35</v>
      </c>
      <c r="C63" s="3"/>
      <c r="D63" s="37">
        <f>357413019/1000000</f>
        <v>357.41301900000002</v>
      </c>
      <c r="E63" s="3"/>
      <c r="F63" s="3"/>
      <c r="G63" s="3"/>
      <c r="H63" s="33"/>
      <c r="I63" s="15"/>
      <c r="K63" s="53"/>
      <c r="L63" s="56">
        <f>L62+0.5%</f>
        <v>0.11607713507090843</v>
      </c>
      <c r="M63" s="59">
        <v>88.477180026979227</v>
      </c>
      <c r="N63" s="60">
        <v>96.896067222599754</v>
      </c>
      <c r="O63" s="60">
        <v>102.40197335899646</v>
      </c>
      <c r="P63" s="60">
        <v>109.15638244743354</v>
      </c>
      <c r="Q63" s="59">
        <v>117.61952749228598</v>
      </c>
    </row>
    <row r="64" spans="1:86" x14ac:dyDescent="0.25">
      <c r="A64" s="1"/>
      <c r="B64" s="17" t="s">
        <v>36</v>
      </c>
      <c r="C64" s="17"/>
      <c r="D64" s="62">
        <f>D63*$J$5</f>
        <v>64202.10060297</v>
      </c>
      <c r="E64" s="17"/>
      <c r="F64" s="17"/>
      <c r="G64" s="17"/>
      <c r="H64" s="34"/>
      <c r="I64" s="1"/>
      <c r="K64" s="53"/>
      <c r="L64" s="56">
        <f>L63+0.5%</f>
        <v>0.12107713507090843</v>
      </c>
      <c r="M64" s="59">
        <v>84.000903318872858</v>
      </c>
      <c r="N64" s="59">
        <v>91.433688633829746</v>
      </c>
      <c r="O64" s="59">
        <v>96.241090062153091</v>
      </c>
      <c r="P64" s="59">
        <v>102.08363272432091</v>
      </c>
      <c r="Q64" s="59">
        <v>109.32308522501006</v>
      </c>
    </row>
    <row r="65" spans="1:9" x14ac:dyDescent="0.25">
      <c r="A65" s="1"/>
      <c r="B65" s="6" t="s">
        <v>37</v>
      </c>
      <c r="D65" s="6" t="s">
        <v>38</v>
      </c>
      <c r="E65" s="35">
        <f>(G65+H65)/2</f>
        <v>176.9175876549977</v>
      </c>
      <c r="F65" s="6"/>
      <c r="G65" s="35">
        <f>G62/D63</f>
        <v>178.3106043807158</v>
      </c>
      <c r="H65" s="36">
        <f>H62/D63</f>
        <v>175.52457092927961</v>
      </c>
      <c r="I65" s="15"/>
    </row>
    <row r="66" spans="1:9" x14ac:dyDescent="0.25">
      <c r="B66" s="40"/>
      <c r="C66" s="40"/>
      <c r="D66" s="40"/>
      <c r="E66" s="40"/>
      <c r="F66" s="40"/>
      <c r="G66" s="40"/>
      <c r="H66" s="40"/>
      <c r="I66" s="22"/>
    </row>
  </sheetData>
  <sortState xmlns:xlrd2="http://schemas.microsoft.com/office/spreadsheetml/2017/richdata2" columnSort="1" ref="C10:H55">
    <sortCondition ref="C10:H10"/>
  </sortState>
  <mergeCells count="1">
    <mergeCell ref="L58:Q5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902C1-E9E6-434A-8083-644F8C7C2221}">
  <dimension ref="A1:I44"/>
  <sheetViews>
    <sheetView workbookViewId="0">
      <selection activeCell="G26" sqref="G26"/>
    </sheetView>
  </sheetViews>
  <sheetFormatPr defaultRowHeight="15" x14ac:dyDescent="0.25"/>
  <cols>
    <col min="1" max="1" width="48.42578125" customWidth="1"/>
    <col min="6" max="6" width="38.42578125" customWidth="1"/>
  </cols>
  <sheetData>
    <row r="1" spans="1:9" x14ac:dyDescent="0.25">
      <c r="A1" s="65" t="s">
        <v>65</v>
      </c>
      <c r="B1" s="66"/>
      <c r="C1" s="66"/>
      <c r="D1" s="66"/>
      <c r="F1" s="86" t="s">
        <v>65</v>
      </c>
      <c r="G1" s="87" t="s">
        <v>51</v>
      </c>
      <c r="H1" s="66"/>
      <c r="I1" s="66"/>
    </row>
    <row r="2" spans="1:9" x14ac:dyDescent="0.25">
      <c r="A2" s="66"/>
      <c r="B2" s="66"/>
      <c r="C2" s="66"/>
      <c r="D2" s="66"/>
    </row>
    <row r="3" spans="1:9" x14ac:dyDescent="0.25">
      <c r="A3" s="65" t="s">
        <v>51</v>
      </c>
      <c r="B3" s="66"/>
      <c r="C3" s="65" t="s">
        <v>66</v>
      </c>
      <c r="D3" s="65" t="s">
        <v>51</v>
      </c>
      <c r="F3" s="65" t="s">
        <v>51</v>
      </c>
      <c r="G3" s="66"/>
      <c r="H3" s="65" t="s">
        <v>66</v>
      </c>
      <c r="I3" s="65" t="s">
        <v>51</v>
      </c>
    </row>
    <row r="4" spans="1:9" x14ac:dyDescent="0.25">
      <c r="A4" s="65" t="s">
        <v>67</v>
      </c>
      <c r="B4" s="65">
        <v>2020</v>
      </c>
      <c r="C4" s="65">
        <v>2021</v>
      </c>
      <c r="D4" s="65">
        <v>2022</v>
      </c>
      <c r="F4" s="65" t="s">
        <v>67</v>
      </c>
      <c r="G4" s="65">
        <v>2017</v>
      </c>
      <c r="H4" s="65">
        <v>2018</v>
      </c>
      <c r="I4" s="65">
        <v>2019</v>
      </c>
    </row>
    <row r="5" spans="1:9" x14ac:dyDescent="0.25">
      <c r="A5" s="66"/>
      <c r="B5" s="66"/>
      <c r="C5" s="66"/>
      <c r="D5" s="66"/>
      <c r="F5" s="66"/>
      <c r="G5" s="66"/>
      <c r="H5" s="66"/>
      <c r="I5" s="66"/>
    </row>
    <row r="6" spans="1:9" x14ac:dyDescent="0.25">
      <c r="A6" s="65" t="s">
        <v>68</v>
      </c>
      <c r="B6" s="67">
        <v>14294</v>
      </c>
      <c r="C6" s="67">
        <v>16215</v>
      </c>
      <c r="D6" s="67">
        <v>17737</v>
      </c>
      <c r="F6" s="65" t="s">
        <v>68</v>
      </c>
      <c r="G6" s="67">
        <v>11824</v>
      </c>
      <c r="H6" s="67">
        <v>13683</v>
      </c>
      <c r="I6" s="67">
        <v>14863</v>
      </c>
    </row>
    <row r="7" spans="1:9" x14ac:dyDescent="0.25">
      <c r="A7" s="65" t="s">
        <v>69</v>
      </c>
      <c r="B7" s="68">
        <v>3552</v>
      </c>
      <c r="C7" s="68">
        <v>3834</v>
      </c>
      <c r="D7" s="68">
        <v>4305</v>
      </c>
      <c r="F7" s="65" t="s">
        <v>69</v>
      </c>
      <c r="G7" s="68">
        <v>2434</v>
      </c>
      <c r="H7" s="68">
        <v>2844</v>
      </c>
      <c r="I7" s="68">
        <v>3387</v>
      </c>
    </row>
    <row r="8" spans="1:9" x14ac:dyDescent="0.25">
      <c r="A8" s="66"/>
      <c r="B8" s="66"/>
      <c r="C8" s="66"/>
      <c r="D8" s="66"/>
      <c r="F8" s="66"/>
      <c r="G8" s="66"/>
      <c r="H8" s="66"/>
      <c r="I8" s="66"/>
    </row>
    <row r="9" spans="1:9" x14ac:dyDescent="0.25">
      <c r="A9" s="65" t="s">
        <v>70</v>
      </c>
      <c r="B9" s="68">
        <v>10742</v>
      </c>
      <c r="C9" s="68">
        <v>12381</v>
      </c>
      <c r="D9" s="68">
        <v>13432</v>
      </c>
      <c r="F9" s="65" t="s">
        <v>70</v>
      </c>
      <c r="G9" s="68">
        <v>9390</v>
      </c>
      <c r="H9" s="68">
        <v>10839</v>
      </c>
      <c r="I9" s="68">
        <v>11476</v>
      </c>
    </row>
    <row r="10" spans="1:9" x14ac:dyDescent="0.25">
      <c r="A10" s="66"/>
      <c r="B10" s="66"/>
      <c r="C10" s="66"/>
      <c r="D10" s="66"/>
      <c r="F10" s="66"/>
      <c r="G10" s="66"/>
      <c r="H10" s="66"/>
      <c r="I10" s="66"/>
    </row>
    <row r="11" spans="1:9" x14ac:dyDescent="0.25">
      <c r="A11" s="65" t="s">
        <v>71</v>
      </c>
      <c r="B11" s="66"/>
      <c r="C11" s="66"/>
      <c r="D11" s="66"/>
      <c r="F11" s="65" t="s">
        <v>71</v>
      </c>
      <c r="G11" s="66"/>
      <c r="H11" s="66"/>
      <c r="I11" s="66"/>
    </row>
    <row r="12" spans="1:9" x14ac:dyDescent="0.25">
      <c r="A12" s="65" t="s">
        <v>72</v>
      </c>
      <c r="B12" s="68">
        <v>8637</v>
      </c>
      <c r="C12" s="68">
        <v>9371</v>
      </c>
      <c r="D12" s="68">
        <v>9888</v>
      </c>
      <c r="F12" s="65" t="s">
        <v>72</v>
      </c>
      <c r="G12" s="68">
        <v>7460</v>
      </c>
      <c r="H12" s="68">
        <v>8553</v>
      </c>
      <c r="I12" s="68">
        <v>8857</v>
      </c>
    </row>
    <row r="13" spans="1:9" x14ac:dyDescent="0.25">
      <c r="A13" s="65" t="s">
        <v>73</v>
      </c>
      <c r="B13" s="68">
        <v>73</v>
      </c>
      <c r="C13" s="68">
        <v>204</v>
      </c>
      <c r="D13" s="68">
        <v>133</v>
      </c>
      <c r="F13" s="65" t="s">
        <v>73</v>
      </c>
      <c r="G13" s="68">
        <v>195</v>
      </c>
      <c r="H13" s="68">
        <v>231</v>
      </c>
      <c r="I13" s="68">
        <v>216</v>
      </c>
    </row>
    <row r="14" spans="1:9" x14ac:dyDescent="0.25">
      <c r="A14" s="65" t="s">
        <v>74</v>
      </c>
      <c r="B14" s="68">
        <v>812</v>
      </c>
      <c r="C14" s="68">
        <v>54</v>
      </c>
      <c r="D14" s="71">
        <v>0</v>
      </c>
      <c r="F14" s="65" t="s">
        <v>74</v>
      </c>
      <c r="G14" s="68">
        <v>28</v>
      </c>
      <c r="H14" s="71">
        <v>0</v>
      </c>
      <c r="I14" s="68">
        <v>68</v>
      </c>
    </row>
    <row r="15" spans="1:9" x14ac:dyDescent="0.25">
      <c r="A15" s="65" t="s">
        <v>75</v>
      </c>
      <c r="B15" s="68">
        <v>614</v>
      </c>
      <c r="C15" s="68">
        <v>134</v>
      </c>
      <c r="D15" s="68">
        <v>241</v>
      </c>
      <c r="F15" s="65" t="s">
        <v>135</v>
      </c>
      <c r="G15" s="68">
        <v>3</v>
      </c>
      <c r="H15" s="71">
        <v>0</v>
      </c>
      <c r="I15" s="68">
        <v>22</v>
      </c>
    </row>
    <row r="16" spans="1:9" x14ac:dyDescent="0.25">
      <c r="A16" s="65" t="s">
        <v>76</v>
      </c>
      <c r="B16" s="68">
        <v>10136</v>
      </c>
      <c r="C16" s="68">
        <v>9763</v>
      </c>
      <c r="D16" s="68">
        <v>10262</v>
      </c>
      <c r="F16" s="65" t="s">
        <v>76</v>
      </c>
      <c r="G16" s="68">
        <v>7686</v>
      </c>
      <c r="H16" s="68">
        <v>8784</v>
      </c>
      <c r="I16" s="68">
        <v>9163</v>
      </c>
    </row>
    <row r="17" spans="1:9" x14ac:dyDescent="0.25">
      <c r="A17" s="66"/>
      <c r="B17" s="66"/>
      <c r="C17" s="66"/>
      <c r="D17" s="66"/>
      <c r="F17" s="66"/>
      <c r="G17" s="66"/>
      <c r="H17" s="66"/>
      <c r="I17" s="66"/>
    </row>
    <row r="18" spans="1:9" x14ac:dyDescent="0.25">
      <c r="A18" s="65" t="s">
        <v>13</v>
      </c>
      <c r="B18" s="68">
        <v>606</v>
      </c>
      <c r="C18" s="68">
        <v>2618</v>
      </c>
      <c r="D18" s="68">
        <v>3170</v>
      </c>
      <c r="F18" s="65" t="s">
        <v>13</v>
      </c>
      <c r="G18" s="68">
        <v>1704</v>
      </c>
      <c r="H18" s="68">
        <v>2055</v>
      </c>
      <c r="I18" s="68">
        <v>2313</v>
      </c>
    </row>
    <row r="19" spans="1:9" x14ac:dyDescent="0.25">
      <c r="A19" s="66"/>
      <c r="B19" s="66"/>
      <c r="C19" s="66"/>
      <c r="D19" s="66"/>
      <c r="F19" s="66"/>
      <c r="G19" s="66"/>
      <c r="H19" s="66"/>
      <c r="I19" s="66"/>
    </row>
    <row r="20" spans="1:9" x14ac:dyDescent="0.25">
      <c r="A20" s="65" t="s">
        <v>77</v>
      </c>
      <c r="B20" s="68">
        <v>161</v>
      </c>
      <c r="C20" s="68">
        <v>173</v>
      </c>
      <c r="D20" s="68">
        <v>167</v>
      </c>
      <c r="F20" s="65" t="s">
        <v>77</v>
      </c>
      <c r="G20" s="68">
        <v>103</v>
      </c>
      <c r="H20" s="68">
        <v>128</v>
      </c>
      <c r="I20" s="68">
        <v>133</v>
      </c>
    </row>
    <row r="21" spans="1:9" x14ac:dyDescent="0.25">
      <c r="A21" s="65" t="s">
        <v>78</v>
      </c>
      <c r="B21" s="68">
        <v>48</v>
      </c>
      <c r="C21" s="68">
        <v>51</v>
      </c>
      <c r="D21" s="68">
        <v>30</v>
      </c>
      <c r="F21" s="65" t="s">
        <v>136</v>
      </c>
      <c r="G21" s="66"/>
      <c r="H21" s="66"/>
      <c r="I21" s="66"/>
    </row>
    <row r="22" spans="1:9" x14ac:dyDescent="0.25">
      <c r="A22" s="65" t="s">
        <v>79</v>
      </c>
      <c r="B22" s="68">
        <v>4</v>
      </c>
      <c r="C22" s="68">
        <v>12</v>
      </c>
      <c r="D22" s="68">
        <v>-2</v>
      </c>
      <c r="F22" s="65" t="s">
        <v>62</v>
      </c>
      <c r="G22" s="68">
        <v>28</v>
      </c>
      <c r="H22" s="68">
        <v>56</v>
      </c>
      <c r="I22" s="68">
        <v>58</v>
      </c>
    </row>
    <row r="23" spans="1:9" x14ac:dyDescent="0.25">
      <c r="A23" s="65" t="s">
        <v>58</v>
      </c>
      <c r="B23" s="68">
        <v>557</v>
      </c>
      <c r="C23" s="68">
        <v>847</v>
      </c>
      <c r="D23" s="68">
        <v>1</v>
      </c>
      <c r="F23" s="65" t="s">
        <v>137</v>
      </c>
      <c r="G23" s="66"/>
      <c r="H23" s="66"/>
      <c r="I23" s="66"/>
    </row>
    <row r="24" spans="1:9" x14ac:dyDescent="0.25">
      <c r="A24" s="65" t="s">
        <v>80</v>
      </c>
      <c r="B24" s="68">
        <v>1046</v>
      </c>
      <c r="C24" s="68">
        <v>3331</v>
      </c>
      <c r="D24" s="68">
        <v>3036</v>
      </c>
      <c r="F24" s="65" t="s">
        <v>138</v>
      </c>
      <c r="G24" s="68">
        <v>12</v>
      </c>
      <c r="H24" s="68">
        <v>3</v>
      </c>
      <c r="I24" s="68">
        <v>2</v>
      </c>
    </row>
    <row r="25" spans="1:9" x14ac:dyDescent="0.25">
      <c r="A25" s="66"/>
      <c r="B25" s="66"/>
      <c r="C25" s="66"/>
      <c r="D25" s="66"/>
      <c r="F25" s="65" t="s">
        <v>58</v>
      </c>
      <c r="G25" s="71">
        <v>0</v>
      </c>
      <c r="H25" s="71">
        <v>0</v>
      </c>
      <c r="I25" s="68">
        <v>71</v>
      </c>
    </row>
    <row r="26" spans="1:9" x14ac:dyDescent="0.25">
      <c r="A26" s="65" t="s">
        <v>81</v>
      </c>
      <c r="B26" s="68">
        <v>350</v>
      </c>
      <c r="C26" s="68">
        <v>456</v>
      </c>
      <c r="D26" s="68">
        <v>628</v>
      </c>
      <c r="F26" s="65" t="s">
        <v>80</v>
      </c>
      <c r="G26" s="68">
        <v>1617</v>
      </c>
      <c r="H26" s="68">
        <v>1980</v>
      </c>
      <c r="I26" s="68">
        <v>2307</v>
      </c>
    </row>
    <row r="27" spans="1:9" x14ac:dyDescent="0.25">
      <c r="A27" s="65" t="s">
        <v>82</v>
      </c>
      <c r="B27" s="68">
        <v>696</v>
      </c>
      <c r="C27" s="68">
        <v>2875</v>
      </c>
      <c r="D27" s="68">
        <v>2408</v>
      </c>
      <c r="F27" s="66"/>
      <c r="G27" s="66"/>
      <c r="H27" s="66"/>
      <c r="I27" s="66"/>
    </row>
    <row r="28" spans="1:9" x14ac:dyDescent="0.25">
      <c r="A28" s="66"/>
      <c r="B28" s="66"/>
      <c r="C28" s="66"/>
      <c r="D28" s="66"/>
      <c r="F28" s="65" t="s">
        <v>81</v>
      </c>
      <c r="G28" s="68">
        <v>361</v>
      </c>
      <c r="H28" s="68">
        <v>863</v>
      </c>
      <c r="I28" s="68">
        <v>513</v>
      </c>
    </row>
    <row r="29" spans="1:9" x14ac:dyDescent="0.25">
      <c r="A29" s="65" t="s">
        <v>83</v>
      </c>
      <c r="B29" s="68">
        <v>-12</v>
      </c>
      <c r="C29" s="68">
        <v>-12</v>
      </c>
      <c r="D29" s="68">
        <v>-7</v>
      </c>
      <c r="F29" s="65" t="s">
        <v>82</v>
      </c>
      <c r="G29" s="68">
        <v>1256</v>
      </c>
      <c r="H29" s="68">
        <v>1117</v>
      </c>
      <c r="I29" s="68">
        <v>1794</v>
      </c>
    </row>
    <row r="30" spans="1:9" x14ac:dyDescent="0.25">
      <c r="A30" s="65" t="s">
        <v>84</v>
      </c>
      <c r="B30" s="66"/>
      <c r="C30" s="66"/>
      <c r="D30" s="66"/>
      <c r="F30" s="66"/>
      <c r="G30" s="66"/>
      <c r="H30" s="66"/>
      <c r="I30" s="66"/>
    </row>
    <row r="31" spans="1:9" x14ac:dyDescent="0.25">
      <c r="A31" s="65" t="s">
        <v>85</v>
      </c>
      <c r="B31" s="71">
        <v>0</v>
      </c>
      <c r="C31" s="68">
        <v>7</v>
      </c>
      <c r="D31" s="68">
        <v>-11</v>
      </c>
      <c r="F31" s="65" t="s">
        <v>139</v>
      </c>
      <c r="G31" s="66"/>
      <c r="H31" s="66"/>
      <c r="I31" s="66"/>
    </row>
    <row r="32" spans="1:9" x14ac:dyDescent="0.25">
      <c r="A32" s="65" t="s">
        <v>86</v>
      </c>
      <c r="B32" s="67">
        <v>684</v>
      </c>
      <c r="C32" s="67">
        <v>2870</v>
      </c>
      <c r="D32" s="67">
        <v>2390</v>
      </c>
      <c r="F32" s="65" t="s">
        <v>59</v>
      </c>
      <c r="G32" s="68">
        <v>-7</v>
      </c>
      <c r="H32" s="68">
        <v>-9</v>
      </c>
      <c r="I32" s="68">
        <v>-9</v>
      </c>
    </row>
    <row r="33" spans="1:9" x14ac:dyDescent="0.25">
      <c r="A33" s="66"/>
      <c r="B33" s="66"/>
      <c r="C33" s="66"/>
      <c r="D33" s="66"/>
      <c r="F33" s="65" t="s">
        <v>140</v>
      </c>
      <c r="G33" s="66"/>
      <c r="H33" s="66"/>
      <c r="I33" s="66"/>
    </row>
    <row r="34" spans="1:9" x14ac:dyDescent="0.25">
      <c r="A34" s="65" t="s">
        <v>86</v>
      </c>
      <c r="B34" s="66"/>
      <c r="C34" s="66"/>
      <c r="D34" s="66"/>
      <c r="F34" s="65" t="s">
        <v>141</v>
      </c>
      <c r="G34" s="67">
        <v>1249</v>
      </c>
      <c r="H34" s="67">
        <v>1108</v>
      </c>
      <c r="I34" s="67">
        <v>1785</v>
      </c>
    </row>
    <row r="35" spans="1:9" x14ac:dyDescent="0.25">
      <c r="A35" s="65" t="s">
        <v>87</v>
      </c>
      <c r="B35" s="66"/>
      <c r="C35" s="66"/>
      <c r="D35" s="66"/>
      <c r="F35" s="66"/>
      <c r="G35" s="66"/>
      <c r="H35" s="66"/>
      <c r="I35" s="66"/>
    </row>
    <row r="36" spans="1:9" x14ac:dyDescent="0.25">
      <c r="A36" s="65" t="s">
        <v>54</v>
      </c>
      <c r="B36" s="69">
        <v>1.9</v>
      </c>
      <c r="C36" s="69">
        <v>7.91</v>
      </c>
      <c r="D36" s="69">
        <v>6.64</v>
      </c>
      <c r="F36" s="65" t="s">
        <v>140</v>
      </c>
      <c r="G36" s="66"/>
      <c r="H36" s="66"/>
      <c r="I36" s="66"/>
    </row>
    <row r="37" spans="1:9" x14ac:dyDescent="0.25">
      <c r="A37" s="65" t="s">
        <v>53</v>
      </c>
      <c r="B37" s="69">
        <v>1.86</v>
      </c>
      <c r="C37" s="69">
        <v>7.79</v>
      </c>
      <c r="D37" s="69">
        <v>6.55</v>
      </c>
      <c r="F37" s="65" t="s">
        <v>142</v>
      </c>
      <c r="G37" s="66"/>
      <c r="H37" s="66"/>
      <c r="I37" s="66"/>
    </row>
    <row r="38" spans="1:9" x14ac:dyDescent="0.25">
      <c r="A38" s="66"/>
      <c r="B38" s="66"/>
      <c r="C38" s="66"/>
      <c r="D38" s="66"/>
      <c r="F38" s="65" t="s">
        <v>54</v>
      </c>
      <c r="G38" s="69">
        <v>3.4</v>
      </c>
      <c r="H38" s="69">
        <v>3.01</v>
      </c>
      <c r="I38" s="69">
        <v>4.91</v>
      </c>
    </row>
    <row r="39" spans="1:9" x14ac:dyDescent="0.25">
      <c r="A39" s="65" t="s">
        <v>88</v>
      </c>
      <c r="B39" s="66"/>
      <c r="C39" s="66"/>
      <c r="D39" s="66"/>
      <c r="F39" s="65" t="s">
        <v>53</v>
      </c>
      <c r="G39" s="69">
        <v>3.35</v>
      </c>
      <c r="H39" s="69">
        <v>2.95</v>
      </c>
      <c r="I39" s="69">
        <v>4.82</v>
      </c>
    </row>
    <row r="40" spans="1:9" x14ac:dyDescent="0.25">
      <c r="A40" s="65" t="s">
        <v>54</v>
      </c>
      <c r="B40" s="70">
        <v>360.6</v>
      </c>
      <c r="C40" s="70">
        <v>362.9</v>
      </c>
      <c r="D40" s="70">
        <v>360</v>
      </c>
      <c r="F40" s="66"/>
      <c r="G40" s="66"/>
      <c r="H40" s="66"/>
      <c r="I40" s="66"/>
    </row>
    <row r="41" spans="1:9" x14ac:dyDescent="0.25">
      <c r="A41" s="65" t="s">
        <v>53</v>
      </c>
      <c r="B41" s="70">
        <v>366.9</v>
      </c>
      <c r="C41" s="70">
        <v>368.2</v>
      </c>
      <c r="D41" s="70">
        <v>364.9</v>
      </c>
      <c r="F41" s="65" t="s">
        <v>143</v>
      </c>
      <c r="G41" s="66"/>
      <c r="H41" s="66"/>
      <c r="I41" s="66"/>
    </row>
    <row r="42" spans="1:9" x14ac:dyDescent="0.25">
      <c r="F42" s="65" t="s">
        <v>144</v>
      </c>
      <c r="G42" s="66"/>
      <c r="H42" s="66"/>
      <c r="I42" s="66"/>
    </row>
    <row r="43" spans="1:9" x14ac:dyDescent="0.25">
      <c r="F43" s="65" t="s">
        <v>54</v>
      </c>
      <c r="G43" s="70">
        <v>367.1</v>
      </c>
      <c r="H43" s="70">
        <v>368</v>
      </c>
      <c r="I43" s="70">
        <v>363.5</v>
      </c>
    </row>
    <row r="44" spans="1:9" x14ac:dyDescent="0.25">
      <c r="F44" s="65" t="s">
        <v>53</v>
      </c>
      <c r="G44" s="70">
        <v>373</v>
      </c>
      <c r="H44" s="70">
        <v>375.7</v>
      </c>
      <c r="I44" s="70">
        <v>370.4</v>
      </c>
    </row>
  </sheetData>
  <mergeCells count="1">
    <mergeCell ref="F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9D905-C625-4CD5-A14F-584F213FA860}">
  <dimension ref="A1:I73"/>
  <sheetViews>
    <sheetView topLeftCell="A19" workbookViewId="0">
      <selection activeCell="B13" sqref="B13"/>
    </sheetView>
  </sheetViews>
  <sheetFormatPr defaultRowHeight="15" x14ac:dyDescent="0.25"/>
  <cols>
    <col min="1" max="1" width="49.85546875" customWidth="1"/>
    <col min="6" max="6" width="42" customWidth="1"/>
  </cols>
  <sheetData>
    <row r="1" spans="1:9" x14ac:dyDescent="0.25">
      <c r="A1" s="65" t="s">
        <v>55</v>
      </c>
      <c r="B1" s="66"/>
      <c r="C1" s="66"/>
      <c r="D1" s="66"/>
    </row>
    <row r="2" spans="1:9" x14ac:dyDescent="0.25">
      <c r="A2" s="66"/>
      <c r="B2" s="66"/>
      <c r="C2" s="66"/>
      <c r="D2" s="66"/>
    </row>
    <row r="3" spans="1:9" x14ac:dyDescent="0.25">
      <c r="A3" s="65" t="s">
        <v>51</v>
      </c>
      <c r="B3" s="66"/>
      <c r="C3" s="65" t="s">
        <v>66</v>
      </c>
      <c r="D3" s="65" t="s">
        <v>51</v>
      </c>
      <c r="F3" s="65" t="s">
        <v>51</v>
      </c>
      <c r="G3" s="66"/>
      <c r="H3" s="65" t="s">
        <v>66</v>
      </c>
      <c r="I3" s="65" t="s">
        <v>51</v>
      </c>
    </row>
    <row r="4" spans="1:9" x14ac:dyDescent="0.25">
      <c r="A4" s="65" t="s">
        <v>89</v>
      </c>
      <c r="B4" s="65">
        <v>2020</v>
      </c>
      <c r="C4" s="65">
        <v>2021</v>
      </c>
      <c r="D4" s="65">
        <v>2022</v>
      </c>
      <c r="F4" s="65" t="s">
        <v>89</v>
      </c>
      <c r="G4" s="65">
        <v>2017</v>
      </c>
      <c r="H4" s="65">
        <v>2018</v>
      </c>
      <c r="I4" s="65">
        <v>2019</v>
      </c>
    </row>
    <row r="5" spans="1:9" x14ac:dyDescent="0.25">
      <c r="A5" s="66"/>
      <c r="B5" s="66"/>
      <c r="C5" s="66"/>
      <c r="D5" s="66"/>
      <c r="F5" s="66"/>
      <c r="G5" s="66"/>
      <c r="H5" s="66"/>
      <c r="I5" s="66"/>
    </row>
    <row r="6" spans="1:9" x14ac:dyDescent="0.25">
      <c r="A6" s="65" t="s">
        <v>90</v>
      </c>
      <c r="B6" s="66"/>
      <c r="C6" s="66"/>
      <c r="D6" s="66"/>
      <c r="F6" s="65" t="s">
        <v>90</v>
      </c>
      <c r="G6" s="66"/>
      <c r="H6" s="66"/>
      <c r="I6" s="66"/>
    </row>
    <row r="7" spans="1:9" x14ac:dyDescent="0.25">
      <c r="A7" s="65" t="s">
        <v>82</v>
      </c>
      <c r="B7" s="67">
        <v>696</v>
      </c>
      <c r="C7" s="67">
        <v>2875</v>
      </c>
      <c r="D7" s="67">
        <v>2408</v>
      </c>
      <c r="F7" s="65" t="s">
        <v>82</v>
      </c>
      <c r="G7" s="67">
        <v>1256</v>
      </c>
      <c r="H7" s="67">
        <v>1117</v>
      </c>
      <c r="I7" s="67">
        <v>1794</v>
      </c>
    </row>
    <row r="8" spans="1:9" x14ac:dyDescent="0.25">
      <c r="A8" s="65" t="s">
        <v>91</v>
      </c>
      <c r="B8" s="66"/>
      <c r="C8" s="66"/>
      <c r="D8" s="66"/>
      <c r="F8" s="65" t="s">
        <v>145</v>
      </c>
      <c r="G8" s="66"/>
      <c r="H8" s="66"/>
      <c r="I8" s="66"/>
    </row>
    <row r="9" spans="1:9" x14ac:dyDescent="0.25">
      <c r="A9" s="65" t="s">
        <v>92</v>
      </c>
      <c r="B9" s="66"/>
      <c r="C9" s="66"/>
      <c r="D9" s="66"/>
      <c r="F9" s="65" t="s">
        <v>146</v>
      </c>
      <c r="G9" s="66"/>
      <c r="H9" s="66"/>
      <c r="I9" s="66"/>
    </row>
    <row r="10" spans="1:9" x14ac:dyDescent="0.25">
      <c r="A10" s="65" t="s">
        <v>52</v>
      </c>
      <c r="B10" s="68">
        <v>611</v>
      </c>
      <c r="C10" s="68">
        <v>651</v>
      </c>
      <c r="D10" s="68">
        <v>727</v>
      </c>
      <c r="F10" s="65" t="s">
        <v>52</v>
      </c>
      <c r="G10" s="68">
        <v>464</v>
      </c>
      <c r="H10" s="68">
        <v>531</v>
      </c>
      <c r="I10" s="68">
        <v>557</v>
      </c>
    </row>
    <row r="11" spans="1:9" x14ac:dyDescent="0.25">
      <c r="A11" s="65" t="s">
        <v>56</v>
      </c>
      <c r="B11" s="68">
        <v>-143</v>
      </c>
      <c r="C11" s="68">
        <v>-230</v>
      </c>
      <c r="D11" s="68">
        <v>-149</v>
      </c>
      <c r="F11" s="65" t="s">
        <v>56</v>
      </c>
      <c r="G11" s="68">
        <v>-118</v>
      </c>
      <c r="H11" s="68">
        <v>175</v>
      </c>
      <c r="I11" s="68">
        <v>-66</v>
      </c>
    </row>
    <row r="12" spans="1:9" x14ac:dyDescent="0.25">
      <c r="A12" s="65" t="s">
        <v>93</v>
      </c>
      <c r="B12" s="68">
        <v>213</v>
      </c>
      <c r="C12" s="68">
        <v>327</v>
      </c>
      <c r="D12" s="68">
        <v>331</v>
      </c>
      <c r="F12" s="65" t="s">
        <v>93</v>
      </c>
      <c r="G12" s="68">
        <v>219</v>
      </c>
      <c r="H12" s="68">
        <v>236</v>
      </c>
      <c r="I12" s="68">
        <v>243</v>
      </c>
    </row>
    <row r="13" spans="1:9" x14ac:dyDescent="0.25">
      <c r="A13" s="65" t="s">
        <v>94</v>
      </c>
      <c r="B13" s="68">
        <v>20</v>
      </c>
      <c r="C13" s="68">
        <v>23</v>
      </c>
      <c r="D13" s="68">
        <v>8</v>
      </c>
      <c r="F13" s="65" t="s">
        <v>147</v>
      </c>
      <c r="G13" s="66"/>
      <c r="H13" s="66"/>
      <c r="I13" s="66"/>
    </row>
    <row r="14" spans="1:9" x14ac:dyDescent="0.25">
      <c r="A14" s="65" t="s">
        <v>95</v>
      </c>
      <c r="B14" s="68">
        <v>20</v>
      </c>
      <c r="C14" s="68">
        <v>76</v>
      </c>
      <c r="D14" s="68">
        <v>14</v>
      </c>
      <c r="F14" s="65" t="s">
        <v>148</v>
      </c>
      <c r="G14" s="68">
        <v>-45</v>
      </c>
      <c r="H14" s="71">
        <v>0</v>
      </c>
      <c r="I14" s="71">
        <v>0</v>
      </c>
    </row>
    <row r="15" spans="1:9" x14ac:dyDescent="0.25">
      <c r="A15" s="65" t="s">
        <v>96</v>
      </c>
      <c r="B15" s="68">
        <v>82</v>
      </c>
      <c r="C15" s="68">
        <v>95</v>
      </c>
      <c r="D15" s="68">
        <v>78</v>
      </c>
      <c r="F15" s="65" t="s">
        <v>149</v>
      </c>
      <c r="G15" s="66"/>
      <c r="H15" s="66"/>
      <c r="I15" s="66"/>
    </row>
    <row r="16" spans="1:9" x14ac:dyDescent="0.25">
      <c r="A16" s="65" t="s">
        <v>97</v>
      </c>
      <c r="B16" s="68">
        <v>-73</v>
      </c>
      <c r="C16" s="68">
        <v>-59</v>
      </c>
      <c r="D16" s="68">
        <v>-56</v>
      </c>
      <c r="F16" s="65" t="s">
        <v>150</v>
      </c>
      <c r="G16" s="68">
        <v>5</v>
      </c>
      <c r="H16" s="68">
        <v>15</v>
      </c>
      <c r="I16" s="68">
        <v>17</v>
      </c>
    </row>
    <row r="17" spans="1:9" x14ac:dyDescent="0.25">
      <c r="A17" s="65" t="s">
        <v>98</v>
      </c>
      <c r="B17" s="68">
        <v>1426</v>
      </c>
      <c r="C17" s="68">
        <v>188</v>
      </c>
      <c r="D17" s="68">
        <v>241</v>
      </c>
      <c r="F17" s="65" t="s">
        <v>95</v>
      </c>
      <c r="G17" s="68">
        <v>3</v>
      </c>
      <c r="H17" s="68">
        <v>1</v>
      </c>
      <c r="I17" s="71">
        <v>0</v>
      </c>
    </row>
    <row r="18" spans="1:9" x14ac:dyDescent="0.25">
      <c r="A18" s="65" t="s">
        <v>99</v>
      </c>
      <c r="B18" s="68">
        <v>-17</v>
      </c>
      <c r="C18" s="68">
        <v>-2</v>
      </c>
      <c r="D18" s="71">
        <v>0</v>
      </c>
      <c r="F18" s="65" t="s">
        <v>96</v>
      </c>
      <c r="G18" s="68">
        <v>80</v>
      </c>
      <c r="H18" s="68">
        <v>73</v>
      </c>
      <c r="I18" s="68">
        <v>72</v>
      </c>
    </row>
    <row r="19" spans="1:9" x14ac:dyDescent="0.25">
      <c r="A19" s="66"/>
      <c r="B19" s="66"/>
      <c r="C19" s="66"/>
      <c r="D19" s="66"/>
      <c r="F19" s="65" t="s">
        <v>151</v>
      </c>
      <c r="G19" s="66"/>
      <c r="H19" s="66"/>
      <c r="I19" s="66"/>
    </row>
    <row r="20" spans="1:9" x14ac:dyDescent="0.25">
      <c r="A20" s="65" t="s">
        <v>100</v>
      </c>
      <c r="B20" s="68">
        <v>-534</v>
      </c>
      <c r="C20" s="68">
        <v>-847</v>
      </c>
      <c r="D20" s="68">
        <v>-1</v>
      </c>
      <c r="F20" s="65" t="s">
        <v>152</v>
      </c>
      <c r="G20" s="68">
        <v>-38</v>
      </c>
      <c r="H20" s="68">
        <v>-85</v>
      </c>
      <c r="I20" s="68">
        <v>-53</v>
      </c>
    </row>
    <row r="21" spans="1:9" x14ac:dyDescent="0.25">
      <c r="A21" s="65" t="s">
        <v>101</v>
      </c>
      <c r="B21" s="68">
        <v>-10</v>
      </c>
      <c r="C21" s="68">
        <v>-20</v>
      </c>
      <c r="D21" s="68">
        <v>-7</v>
      </c>
      <c r="F21" s="65" t="s">
        <v>153</v>
      </c>
      <c r="G21" s="66"/>
      <c r="H21" s="66"/>
      <c r="I21" s="66"/>
    </row>
    <row r="22" spans="1:9" x14ac:dyDescent="0.25">
      <c r="A22" s="65" t="s">
        <v>102</v>
      </c>
      <c r="B22" s="66"/>
      <c r="C22" s="66"/>
      <c r="D22" s="66"/>
      <c r="F22" s="65" t="s">
        <v>154</v>
      </c>
      <c r="G22" s="68">
        <v>31</v>
      </c>
      <c r="H22" s="71">
        <v>0</v>
      </c>
      <c r="I22" s="68">
        <v>90</v>
      </c>
    </row>
    <row r="23" spans="1:9" x14ac:dyDescent="0.25">
      <c r="A23" s="65" t="s">
        <v>103</v>
      </c>
      <c r="B23" s="68">
        <v>625</v>
      </c>
      <c r="C23" s="68">
        <v>-398</v>
      </c>
      <c r="D23" s="68">
        <v>-10</v>
      </c>
      <c r="F23" s="65" t="s">
        <v>155</v>
      </c>
      <c r="G23" s="66"/>
      <c r="H23" s="66"/>
      <c r="I23" s="66"/>
    </row>
    <row r="24" spans="1:9" x14ac:dyDescent="0.25">
      <c r="A24" s="65" t="s">
        <v>104</v>
      </c>
      <c r="B24" s="68">
        <v>-3</v>
      </c>
      <c r="C24" s="68">
        <v>-140</v>
      </c>
      <c r="D24" s="68">
        <v>-602</v>
      </c>
      <c r="F24" s="65" t="s">
        <v>156</v>
      </c>
      <c r="G24" s="68">
        <v>-57</v>
      </c>
      <c r="H24" s="68">
        <v>-43</v>
      </c>
      <c r="I24" s="68">
        <v>-37</v>
      </c>
    </row>
    <row r="25" spans="1:9" x14ac:dyDescent="0.25">
      <c r="A25" s="65" t="s">
        <v>105</v>
      </c>
      <c r="B25" s="68">
        <v>-212</v>
      </c>
      <c r="C25" s="68">
        <v>13</v>
      </c>
      <c r="D25" s="68">
        <v>-101</v>
      </c>
      <c r="F25" s="65" t="s">
        <v>157</v>
      </c>
      <c r="G25" s="66"/>
      <c r="H25" s="66"/>
      <c r="I25" s="66"/>
    </row>
    <row r="26" spans="1:9" x14ac:dyDescent="0.25">
      <c r="A26" s="65" t="s">
        <v>106</v>
      </c>
      <c r="B26" s="68">
        <v>-308</v>
      </c>
      <c r="C26" s="68">
        <v>440</v>
      </c>
      <c r="D26" s="68">
        <v>210</v>
      </c>
      <c r="F26" s="65" t="s">
        <v>158</v>
      </c>
      <c r="G26" s="71">
        <v>0</v>
      </c>
      <c r="H26" s="71">
        <v>0</v>
      </c>
      <c r="I26" s="68">
        <v>-71</v>
      </c>
    </row>
    <row r="27" spans="1:9" x14ac:dyDescent="0.25">
      <c r="A27" s="65" t="s">
        <v>107</v>
      </c>
      <c r="B27" s="66"/>
      <c r="C27" s="66"/>
      <c r="D27" s="66"/>
      <c r="F27" s="65" t="s">
        <v>101</v>
      </c>
      <c r="G27" s="68">
        <v>-21</v>
      </c>
      <c r="H27" s="68">
        <v>-22</v>
      </c>
      <c r="I27" s="68">
        <v>-27</v>
      </c>
    </row>
    <row r="28" spans="1:9" x14ac:dyDescent="0.25">
      <c r="A28" s="65" t="s">
        <v>61</v>
      </c>
      <c r="B28" s="68">
        <v>-169</v>
      </c>
      <c r="C28" s="68">
        <v>695</v>
      </c>
      <c r="D28" s="68">
        <v>1</v>
      </c>
      <c r="F28" s="65" t="s">
        <v>102</v>
      </c>
      <c r="G28" s="66"/>
      <c r="H28" s="66"/>
      <c r="I28" s="66"/>
    </row>
    <row r="29" spans="1:9" x14ac:dyDescent="0.25">
      <c r="A29" s="65" t="s">
        <v>108</v>
      </c>
      <c r="B29" s="66"/>
      <c r="C29" s="66"/>
      <c r="D29" s="66"/>
      <c r="F29" s="65" t="s">
        <v>159</v>
      </c>
      <c r="G29" s="68">
        <v>-92</v>
      </c>
      <c r="H29" s="68">
        <v>-105</v>
      </c>
      <c r="I29" s="68">
        <v>-169</v>
      </c>
    </row>
    <row r="30" spans="1:9" x14ac:dyDescent="0.25">
      <c r="A30" s="65" t="s">
        <v>109</v>
      </c>
      <c r="B30" s="68">
        <v>56</v>
      </c>
      <c r="C30" s="68">
        <v>-56</v>
      </c>
      <c r="D30" s="68">
        <v>-52</v>
      </c>
      <c r="F30" s="65" t="s">
        <v>160</v>
      </c>
      <c r="G30" s="66"/>
      <c r="H30" s="66"/>
      <c r="I30" s="66"/>
    </row>
    <row r="31" spans="1:9" x14ac:dyDescent="0.25">
      <c r="A31" s="65" t="s">
        <v>110</v>
      </c>
      <c r="B31" s="68">
        <v>2280</v>
      </c>
      <c r="C31" s="68">
        <v>3631</v>
      </c>
      <c r="D31" s="68">
        <v>3040</v>
      </c>
      <c r="F31" s="65" t="s">
        <v>161</v>
      </c>
      <c r="G31" s="68">
        <v>-85</v>
      </c>
      <c r="H31" s="68">
        <v>-147</v>
      </c>
      <c r="I31" s="68">
        <v>-375</v>
      </c>
    </row>
    <row r="32" spans="1:9" x14ac:dyDescent="0.25">
      <c r="A32" s="65" t="s">
        <v>111</v>
      </c>
      <c r="B32" s="66"/>
      <c r="C32" s="66"/>
      <c r="D32" s="66"/>
      <c r="F32" s="65" t="s">
        <v>105</v>
      </c>
      <c r="G32" s="68">
        <v>-90</v>
      </c>
      <c r="H32" s="68">
        <v>1</v>
      </c>
      <c r="I32" s="68">
        <v>-62</v>
      </c>
    </row>
    <row r="33" spans="1:9" x14ac:dyDescent="0.25">
      <c r="A33" s="65" t="s">
        <v>112</v>
      </c>
      <c r="B33" s="68">
        <v>-623</v>
      </c>
      <c r="C33" s="68">
        <v>-637</v>
      </c>
      <c r="D33" s="68">
        <v>-1040</v>
      </c>
      <c r="F33" s="65" t="s">
        <v>162</v>
      </c>
      <c r="G33" s="68">
        <v>54</v>
      </c>
      <c r="H33" s="68">
        <v>349</v>
      </c>
      <c r="I33" s="68">
        <v>319</v>
      </c>
    </row>
    <row r="34" spans="1:9" x14ac:dyDescent="0.25">
      <c r="A34" s="65" t="s">
        <v>113</v>
      </c>
      <c r="B34" s="71">
        <v>0</v>
      </c>
      <c r="C34" s="68">
        <v>32</v>
      </c>
      <c r="D34" s="71">
        <v>0</v>
      </c>
      <c r="F34" s="65" t="s">
        <v>163</v>
      </c>
      <c r="G34" s="66"/>
      <c r="H34" s="66"/>
      <c r="I34" s="66"/>
    </row>
    <row r="35" spans="1:9" x14ac:dyDescent="0.25">
      <c r="A35" s="65" t="s">
        <v>114</v>
      </c>
      <c r="B35" s="68">
        <v>-1047</v>
      </c>
      <c r="C35" s="68">
        <v>-1065</v>
      </c>
      <c r="D35" s="68">
        <v>-3</v>
      </c>
      <c r="F35" s="65" t="s">
        <v>61</v>
      </c>
      <c r="G35" s="68">
        <v>224</v>
      </c>
      <c r="H35" s="68">
        <v>466</v>
      </c>
      <c r="I35" s="68">
        <v>285</v>
      </c>
    </row>
    <row r="36" spans="1:9" x14ac:dyDescent="0.25">
      <c r="A36" s="66"/>
      <c r="B36" s="66"/>
      <c r="C36" s="66"/>
      <c r="D36" s="66"/>
      <c r="F36" s="65" t="s">
        <v>164</v>
      </c>
      <c r="G36" s="66"/>
      <c r="H36" s="66"/>
      <c r="I36" s="66"/>
    </row>
    <row r="37" spans="1:9" x14ac:dyDescent="0.25">
      <c r="A37" s="65" t="s">
        <v>115</v>
      </c>
      <c r="B37" s="68">
        <v>-5</v>
      </c>
      <c r="C37" s="68">
        <v>-42</v>
      </c>
      <c r="D37" s="68">
        <v>-10</v>
      </c>
      <c r="F37" s="65" t="s">
        <v>165</v>
      </c>
      <c r="G37" s="68">
        <v>1790</v>
      </c>
      <c r="H37" s="68">
        <v>2562</v>
      </c>
      <c r="I37" s="68">
        <v>2517</v>
      </c>
    </row>
    <row r="38" spans="1:9" x14ac:dyDescent="0.25">
      <c r="A38" s="66"/>
      <c r="B38" s="66"/>
      <c r="C38" s="66"/>
      <c r="D38" s="66"/>
      <c r="F38" s="66"/>
      <c r="G38" s="66"/>
      <c r="H38" s="66"/>
      <c r="I38" s="66"/>
    </row>
    <row r="39" spans="1:9" x14ac:dyDescent="0.25">
      <c r="A39" s="65" t="s">
        <v>116</v>
      </c>
      <c r="B39" s="68">
        <v>-23</v>
      </c>
      <c r="C39" s="68">
        <v>-152</v>
      </c>
      <c r="D39" s="68">
        <v>108</v>
      </c>
      <c r="F39" s="65" t="s">
        <v>111</v>
      </c>
      <c r="G39" s="66"/>
      <c r="H39" s="66"/>
      <c r="I39" s="66"/>
    </row>
    <row r="40" spans="1:9" x14ac:dyDescent="0.25">
      <c r="A40" s="65" t="s">
        <v>117</v>
      </c>
      <c r="B40" s="68">
        <v>-1698</v>
      </c>
      <c r="C40" s="68">
        <v>-1864</v>
      </c>
      <c r="D40" s="68">
        <v>-945</v>
      </c>
      <c r="F40" s="65" t="s">
        <v>112</v>
      </c>
      <c r="G40" s="68">
        <v>-504</v>
      </c>
      <c r="H40" s="68">
        <v>-629</v>
      </c>
      <c r="I40" s="68">
        <v>-744</v>
      </c>
    </row>
    <row r="41" spans="1:9" x14ac:dyDescent="0.25">
      <c r="A41" s="65" t="s">
        <v>118</v>
      </c>
      <c r="B41" s="66"/>
      <c r="C41" s="66"/>
      <c r="D41" s="66"/>
      <c r="F41" s="65" t="s">
        <v>166</v>
      </c>
      <c r="G41" s="66"/>
      <c r="H41" s="66"/>
      <c r="I41" s="66"/>
    </row>
    <row r="42" spans="1:9" x14ac:dyDescent="0.25">
      <c r="A42" s="65" t="s">
        <v>119</v>
      </c>
      <c r="B42" s="68">
        <v>755</v>
      </c>
      <c r="C42" s="68">
        <v>-744</v>
      </c>
      <c r="D42" s="68">
        <v>-4</v>
      </c>
      <c r="F42" s="65" t="s">
        <v>167</v>
      </c>
      <c r="G42" s="68">
        <v>-1671</v>
      </c>
      <c r="H42" s="71">
        <v>0</v>
      </c>
      <c r="I42" s="71">
        <v>0</v>
      </c>
    </row>
    <row r="43" spans="1:9" x14ac:dyDescent="0.25">
      <c r="A43" s="65" t="s">
        <v>120</v>
      </c>
      <c r="B43" s="68">
        <v>2481</v>
      </c>
      <c r="C43" s="68">
        <v>596</v>
      </c>
      <c r="D43" s="71">
        <v>0</v>
      </c>
      <c r="F43" s="65" t="s">
        <v>168</v>
      </c>
      <c r="G43" s="68">
        <v>1226</v>
      </c>
      <c r="H43" s="68">
        <v>749</v>
      </c>
      <c r="I43" s="68">
        <v>1229</v>
      </c>
    </row>
    <row r="44" spans="1:9" x14ac:dyDescent="0.25">
      <c r="A44" s="65" t="s">
        <v>121</v>
      </c>
      <c r="B44" s="68">
        <v>-18</v>
      </c>
      <c r="C44" s="68">
        <v>-4</v>
      </c>
      <c r="D44" s="68">
        <v>-1</v>
      </c>
      <c r="F44" s="65" t="s">
        <v>115</v>
      </c>
      <c r="G44" s="68">
        <v>-1267</v>
      </c>
      <c r="H44" s="68">
        <v>-478</v>
      </c>
      <c r="I44" s="68">
        <v>-14</v>
      </c>
    </row>
    <row r="45" spans="1:9" x14ac:dyDescent="0.25">
      <c r="A45" s="65" t="s">
        <v>122</v>
      </c>
      <c r="B45" s="68">
        <v>-513</v>
      </c>
      <c r="C45" s="68">
        <v>-459</v>
      </c>
      <c r="D45" s="68">
        <v>-18</v>
      </c>
      <c r="F45" s="65" t="s">
        <v>169</v>
      </c>
      <c r="G45" s="66"/>
      <c r="H45" s="66"/>
      <c r="I45" s="66"/>
    </row>
    <row r="46" spans="1:9" x14ac:dyDescent="0.25">
      <c r="A46" s="65" t="s">
        <v>123</v>
      </c>
      <c r="B46" s="68">
        <v>180</v>
      </c>
      <c r="C46" s="68">
        <v>215</v>
      </c>
      <c r="D46" s="68">
        <v>151</v>
      </c>
      <c r="F46" s="65" t="s">
        <v>150</v>
      </c>
      <c r="G46" s="68">
        <v>12</v>
      </c>
      <c r="H46" s="71">
        <v>0</v>
      </c>
      <c r="I46" s="68">
        <v>2</v>
      </c>
    </row>
    <row r="47" spans="1:9" x14ac:dyDescent="0.25">
      <c r="A47" s="65" t="s">
        <v>124</v>
      </c>
      <c r="B47" s="71">
        <v>0</v>
      </c>
      <c r="C47" s="71">
        <v>0</v>
      </c>
      <c r="D47" s="68">
        <v>-15</v>
      </c>
      <c r="F47" s="65" t="s">
        <v>170</v>
      </c>
      <c r="G47" s="66"/>
      <c r="H47" s="66"/>
      <c r="I47" s="66"/>
    </row>
    <row r="48" spans="1:9" x14ac:dyDescent="0.25">
      <c r="A48" s="65" t="s">
        <v>125</v>
      </c>
      <c r="B48" s="68">
        <v>-893</v>
      </c>
      <c r="C48" s="68">
        <v>-733</v>
      </c>
      <c r="D48" s="68">
        <v>-2309</v>
      </c>
      <c r="F48" s="65" t="s">
        <v>171</v>
      </c>
      <c r="G48" s="68">
        <v>-2204</v>
      </c>
      <c r="H48" s="68">
        <v>-358</v>
      </c>
      <c r="I48" s="68">
        <v>473</v>
      </c>
    </row>
    <row r="49" spans="1:9" x14ac:dyDescent="0.25">
      <c r="A49" s="65" t="s">
        <v>126</v>
      </c>
      <c r="B49" s="68">
        <v>-503</v>
      </c>
      <c r="C49" s="68">
        <v>-753</v>
      </c>
      <c r="D49" s="68">
        <v>-840</v>
      </c>
      <c r="F49" s="66"/>
      <c r="G49" s="66"/>
      <c r="H49" s="66"/>
      <c r="I49" s="66"/>
    </row>
    <row r="50" spans="1:9" x14ac:dyDescent="0.25">
      <c r="A50" s="65" t="s">
        <v>127</v>
      </c>
      <c r="B50" s="68">
        <v>-10</v>
      </c>
      <c r="C50" s="68">
        <v>-8</v>
      </c>
      <c r="D50" s="71">
        <v>0</v>
      </c>
      <c r="F50" s="65" t="s">
        <v>118</v>
      </c>
      <c r="G50" s="66"/>
      <c r="H50" s="66"/>
      <c r="I50" s="66"/>
    </row>
    <row r="51" spans="1:9" x14ac:dyDescent="0.25">
      <c r="A51" s="65" t="s">
        <v>128</v>
      </c>
      <c r="B51" s="68">
        <v>-18</v>
      </c>
      <c r="C51" s="68">
        <v>-2</v>
      </c>
      <c r="D51" s="71">
        <v>0</v>
      </c>
      <c r="F51" s="65" t="s">
        <v>119</v>
      </c>
      <c r="G51" s="68">
        <v>165</v>
      </c>
      <c r="H51" s="68">
        <v>-8</v>
      </c>
      <c r="I51" s="68">
        <v>-171</v>
      </c>
    </row>
    <row r="52" spans="1:9" x14ac:dyDescent="0.25">
      <c r="A52" s="66"/>
      <c r="B52" s="66"/>
      <c r="C52" s="66"/>
      <c r="D52" s="66"/>
      <c r="F52" s="65" t="s">
        <v>120</v>
      </c>
      <c r="G52" s="68">
        <v>1498</v>
      </c>
      <c r="H52" s="71">
        <v>0</v>
      </c>
      <c r="I52" s="71">
        <v>0</v>
      </c>
    </row>
    <row r="53" spans="1:9" x14ac:dyDescent="0.25">
      <c r="A53" s="65" t="s">
        <v>129</v>
      </c>
      <c r="B53" s="68">
        <v>1461</v>
      </c>
      <c r="C53" s="68">
        <v>-1892</v>
      </c>
      <c r="D53" s="68">
        <v>-3036</v>
      </c>
      <c r="F53" s="65" t="s">
        <v>121</v>
      </c>
      <c r="G53" s="68">
        <v>-11</v>
      </c>
      <c r="H53" s="71">
        <v>0</v>
      </c>
      <c r="I53" s="71">
        <v>0</v>
      </c>
    </row>
    <row r="54" spans="1:9" x14ac:dyDescent="0.25">
      <c r="A54" s="66"/>
      <c r="B54" s="66"/>
      <c r="C54" s="66"/>
      <c r="D54" s="66"/>
      <c r="F54" s="65" t="s">
        <v>122</v>
      </c>
      <c r="G54" s="68">
        <v>-306</v>
      </c>
      <c r="H54" s="68">
        <v>-2</v>
      </c>
      <c r="I54" s="68">
        <v>-1</v>
      </c>
    </row>
    <row r="55" spans="1:9" x14ac:dyDescent="0.25">
      <c r="A55" s="65" t="s">
        <v>130</v>
      </c>
      <c r="B55" s="66"/>
      <c r="C55" s="66"/>
      <c r="D55" s="66"/>
      <c r="F55" s="65" t="s">
        <v>172</v>
      </c>
      <c r="G55" s="66"/>
      <c r="H55" s="66"/>
      <c r="I55" s="66"/>
    </row>
    <row r="56" spans="1:9" x14ac:dyDescent="0.25">
      <c r="A56" s="65" t="s">
        <v>131</v>
      </c>
      <c r="B56" s="68">
        <v>-8</v>
      </c>
      <c r="C56" s="68">
        <v>61</v>
      </c>
      <c r="D56" s="68">
        <v>-60</v>
      </c>
      <c r="F56" s="65" t="s">
        <v>173</v>
      </c>
      <c r="G56" s="68">
        <v>141</v>
      </c>
      <c r="H56" s="68">
        <v>182</v>
      </c>
      <c r="I56" s="68">
        <v>192</v>
      </c>
    </row>
    <row r="57" spans="1:9" x14ac:dyDescent="0.25">
      <c r="A57" s="65" t="s">
        <v>132</v>
      </c>
      <c r="B57" s="68">
        <v>2035</v>
      </c>
      <c r="C57" s="68">
        <v>-64</v>
      </c>
      <c r="D57" s="68">
        <v>-1001</v>
      </c>
      <c r="F57" s="65" t="s">
        <v>147</v>
      </c>
      <c r="G57" s="66"/>
      <c r="H57" s="66"/>
      <c r="I57" s="66"/>
    </row>
    <row r="58" spans="1:9" x14ac:dyDescent="0.25">
      <c r="A58" s="65" t="s">
        <v>133</v>
      </c>
      <c r="B58" s="68">
        <v>2987</v>
      </c>
      <c r="C58" s="68">
        <v>5022</v>
      </c>
      <c r="D58" s="68">
        <v>4958</v>
      </c>
      <c r="F58" s="65" t="s">
        <v>148</v>
      </c>
      <c r="G58" s="68">
        <v>45</v>
      </c>
      <c r="H58" s="71">
        <v>0</v>
      </c>
      <c r="I58" s="71">
        <v>0</v>
      </c>
    </row>
    <row r="59" spans="1:9" x14ac:dyDescent="0.25">
      <c r="A59" s="66"/>
      <c r="B59" s="66"/>
      <c r="C59" s="66"/>
      <c r="D59" s="66"/>
      <c r="F59" s="65" t="s">
        <v>125</v>
      </c>
      <c r="G59" s="68">
        <v>-413</v>
      </c>
      <c r="H59" s="68">
        <v>-759</v>
      </c>
      <c r="I59" s="68">
        <v>-1555</v>
      </c>
    </row>
    <row r="60" spans="1:9" x14ac:dyDescent="0.25">
      <c r="A60" s="65" t="s">
        <v>134</v>
      </c>
      <c r="B60" s="67">
        <v>5022</v>
      </c>
      <c r="C60" s="67">
        <v>4958</v>
      </c>
      <c r="D60" s="67">
        <v>3957</v>
      </c>
      <c r="F60" s="65" t="s">
        <v>126</v>
      </c>
      <c r="G60" s="68">
        <v>-486</v>
      </c>
      <c r="H60" s="68">
        <v>-546</v>
      </c>
      <c r="I60" s="68">
        <v>-609</v>
      </c>
    </row>
    <row r="61" spans="1:9" x14ac:dyDescent="0.25">
      <c r="F61" s="65" t="s">
        <v>174</v>
      </c>
      <c r="G61" s="66"/>
      <c r="H61" s="66"/>
      <c r="I61" s="66"/>
    </row>
    <row r="62" spans="1:9" x14ac:dyDescent="0.25">
      <c r="F62" s="65" t="s">
        <v>175</v>
      </c>
      <c r="G62" s="68">
        <v>-3</v>
      </c>
      <c r="H62" s="68">
        <v>-4</v>
      </c>
      <c r="I62" s="68">
        <v>-6</v>
      </c>
    </row>
    <row r="63" spans="1:9" x14ac:dyDescent="0.25">
      <c r="F63" s="65" t="s">
        <v>128</v>
      </c>
      <c r="G63" s="71">
        <v>0</v>
      </c>
      <c r="H63" s="68">
        <v>-35</v>
      </c>
      <c r="I63" s="68">
        <v>-23</v>
      </c>
    </row>
    <row r="64" spans="1:9" x14ac:dyDescent="0.25">
      <c r="F64" s="65" t="s">
        <v>170</v>
      </c>
      <c r="G64" s="66"/>
      <c r="H64" s="66"/>
      <c r="I64" s="66"/>
    </row>
    <row r="65" spans="6:9" x14ac:dyDescent="0.25">
      <c r="F65" s="65" t="s">
        <v>176</v>
      </c>
      <c r="G65" s="68">
        <v>630</v>
      </c>
      <c r="H65" s="68">
        <v>-1172</v>
      </c>
      <c r="I65" s="68">
        <v>-2173</v>
      </c>
    </row>
    <row r="66" spans="6:9" x14ac:dyDescent="0.25">
      <c r="F66" s="66"/>
      <c r="G66" s="66"/>
      <c r="H66" s="66"/>
      <c r="I66" s="66"/>
    </row>
    <row r="67" spans="6:9" x14ac:dyDescent="0.25">
      <c r="F67" s="65" t="s">
        <v>177</v>
      </c>
      <c r="G67" s="66"/>
      <c r="H67" s="66"/>
      <c r="I67" s="66"/>
    </row>
    <row r="68" spans="6:9" x14ac:dyDescent="0.25">
      <c r="F68" s="65" t="s">
        <v>178</v>
      </c>
      <c r="G68" s="68">
        <v>6</v>
      </c>
      <c r="H68" s="68">
        <v>13</v>
      </c>
      <c r="I68" s="68">
        <v>-11</v>
      </c>
    </row>
    <row r="69" spans="6:9" x14ac:dyDescent="0.25">
      <c r="F69" s="65" t="s">
        <v>179</v>
      </c>
      <c r="G69" s="68">
        <v>222</v>
      </c>
      <c r="H69" s="68">
        <v>1045</v>
      </c>
      <c r="I69" s="68">
        <v>806</v>
      </c>
    </row>
    <row r="70" spans="6:9" x14ac:dyDescent="0.25">
      <c r="F70" s="65" t="s">
        <v>180</v>
      </c>
      <c r="G70" s="66"/>
      <c r="H70" s="66"/>
      <c r="I70" s="66"/>
    </row>
    <row r="71" spans="6:9" x14ac:dyDescent="0.25">
      <c r="F71" s="65" t="s">
        <v>57</v>
      </c>
      <c r="G71" s="68">
        <v>914</v>
      </c>
      <c r="H71" s="68">
        <v>1136</v>
      </c>
      <c r="I71" s="68">
        <v>2181</v>
      </c>
    </row>
    <row r="72" spans="6:9" x14ac:dyDescent="0.25">
      <c r="F72" s="66"/>
      <c r="G72" s="66"/>
      <c r="H72" s="66"/>
      <c r="I72" s="66"/>
    </row>
    <row r="73" spans="6:9" x14ac:dyDescent="0.25">
      <c r="F73" s="65" t="s">
        <v>134</v>
      </c>
      <c r="G73" s="67">
        <v>1136</v>
      </c>
      <c r="H73" s="67">
        <v>2181</v>
      </c>
      <c r="I73" s="67">
        <v>2987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550DA-B624-4752-9D51-D896479F0D02}">
  <dimension ref="A1:L15"/>
  <sheetViews>
    <sheetView workbookViewId="0">
      <selection activeCell="F15" sqref="F15"/>
    </sheetView>
  </sheetViews>
  <sheetFormatPr defaultRowHeight="15" x14ac:dyDescent="0.25"/>
  <sheetData>
    <row r="1" spans="1:12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23.25" x14ac:dyDescent="0.35">
      <c r="A2" s="2"/>
      <c r="B2" s="39" t="s">
        <v>1</v>
      </c>
      <c r="C2" s="2"/>
      <c r="D2" s="2"/>
      <c r="E2" s="2"/>
      <c r="F2" s="2"/>
      <c r="G2" s="2"/>
      <c r="H2" s="2"/>
      <c r="I2" s="2"/>
      <c r="J2" s="2"/>
      <c r="K2" s="2"/>
      <c r="L2" s="40"/>
    </row>
    <row r="3" spans="1:12" x14ac:dyDescent="0.25">
      <c r="A3" s="41"/>
      <c r="B3" s="41"/>
      <c r="C3" s="41"/>
      <c r="D3" s="41"/>
      <c r="E3" s="41"/>
      <c r="F3" s="41"/>
      <c r="G3" s="41"/>
      <c r="H3" s="41"/>
      <c r="I3" s="41"/>
      <c r="J3" s="41"/>
      <c r="K3" s="41"/>
      <c r="L3" s="2"/>
    </row>
    <row r="4" spans="1:12" x14ac:dyDescent="0.25">
      <c r="A4" s="42" t="s">
        <v>40</v>
      </c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</row>
    <row r="5" spans="1:12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25">
      <c r="A6" s="2"/>
      <c r="B6" s="2" t="s">
        <v>41</v>
      </c>
      <c r="C6" s="2"/>
      <c r="D6" s="43">
        <v>0.18</v>
      </c>
      <c r="E6" s="2"/>
      <c r="F6" s="2"/>
      <c r="G6" s="2"/>
      <c r="H6" s="2"/>
      <c r="I6" s="2"/>
      <c r="J6" s="2"/>
      <c r="K6" s="2"/>
      <c r="L6" s="2"/>
    </row>
    <row r="7" spans="1:12" x14ac:dyDescent="0.25">
      <c r="A7" s="2"/>
      <c r="B7" s="2" t="s">
        <v>42</v>
      </c>
      <c r="C7" s="2"/>
      <c r="D7" s="43">
        <v>3.6999999999999998E-2</v>
      </c>
      <c r="E7" s="2"/>
      <c r="F7" s="2"/>
      <c r="G7" s="2"/>
      <c r="H7" s="2"/>
      <c r="I7" s="2"/>
      <c r="J7" s="2"/>
      <c r="K7" s="2"/>
      <c r="L7" s="2"/>
    </row>
    <row r="8" spans="1:12" x14ac:dyDescent="0.25">
      <c r="A8" s="2"/>
      <c r="B8" s="2" t="s">
        <v>43</v>
      </c>
      <c r="C8" s="2"/>
      <c r="D8" s="44">
        <v>1.01</v>
      </c>
      <c r="E8" s="2"/>
      <c r="F8" s="2"/>
      <c r="G8" s="2"/>
      <c r="H8" s="2"/>
      <c r="I8" s="2"/>
      <c r="J8" s="2"/>
      <c r="K8" s="2"/>
      <c r="L8" s="2"/>
    </row>
    <row r="9" spans="1:12" x14ac:dyDescent="0.25">
      <c r="A9" s="2"/>
      <c r="B9" s="2" t="s">
        <v>44</v>
      </c>
      <c r="C9" s="2"/>
      <c r="D9" s="43">
        <v>0.06</v>
      </c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 t="s">
        <v>34</v>
      </c>
      <c r="B12" s="2"/>
      <c r="C12" s="23">
        <f>'EL DCF'!D64</f>
        <v>64202.10060297</v>
      </c>
      <c r="D12" s="2"/>
      <c r="E12" s="2" t="s">
        <v>33</v>
      </c>
      <c r="F12" s="2"/>
      <c r="G12" s="23">
        <f>'EL DCF'!D61</f>
        <v>6180</v>
      </c>
      <c r="H12" s="2"/>
      <c r="I12" s="2" t="s">
        <v>45</v>
      </c>
      <c r="J12" s="2"/>
      <c r="K12" s="23">
        <f>G12+C12</f>
        <v>70382.100602969993</v>
      </c>
      <c r="L12" s="2"/>
    </row>
    <row r="13" spans="1:12" x14ac:dyDescent="0.25">
      <c r="A13" s="2" t="s">
        <v>46</v>
      </c>
      <c r="B13" s="2"/>
      <c r="C13" s="45">
        <f>C12/K12</f>
        <v>0.91219358406391171</v>
      </c>
      <c r="D13" s="2"/>
      <c r="E13" s="2" t="s">
        <v>47</v>
      </c>
      <c r="F13" s="2"/>
      <c r="G13" s="46">
        <f>G12/K12</f>
        <v>8.7806415936088386E-2</v>
      </c>
      <c r="H13" s="2"/>
      <c r="I13" s="2"/>
      <c r="J13" s="2"/>
      <c r="K13" s="2"/>
      <c r="L13" s="2"/>
    </row>
    <row r="14" spans="1:12" x14ac:dyDescent="0.25">
      <c r="A14" s="2" t="s">
        <v>48</v>
      </c>
      <c r="B14" s="2"/>
      <c r="C14" s="47">
        <f>D7+D8*(D9)</f>
        <v>9.7599999999999992E-2</v>
      </c>
      <c r="D14" s="2"/>
      <c r="E14" s="2" t="s">
        <v>49</v>
      </c>
      <c r="F14" s="2"/>
      <c r="G14" s="46">
        <v>0.05</v>
      </c>
      <c r="H14" s="2"/>
      <c r="I14" s="48" t="s">
        <v>1</v>
      </c>
      <c r="J14" s="49"/>
      <c r="K14" s="50">
        <f>C13*C14+G14*G13*(1-D6)</f>
        <v>9.2630156858017398E-2</v>
      </c>
      <c r="L14" s="2"/>
    </row>
    <row r="15" spans="1:12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EL DCF</vt:lpstr>
      <vt:lpstr>Raw IS</vt:lpstr>
      <vt:lpstr>Raw CF</vt:lpstr>
      <vt:lpstr>WACC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2023-05-02T11:48:48Z</dcterms:created>
  <dcterms:modified xsi:type="dcterms:W3CDTF">2023-06-13T11:36:36Z</dcterms:modified>
</cp:coreProperties>
</file>