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8_{DD1B333A-1267-4D7D-B324-D44F864BA5E1}" xr6:coauthVersionLast="47" xr6:coauthVersionMax="47" xr10:uidLastSave="{00000000-0000-0000-0000-000000000000}"/>
  <bookViews>
    <workbookView xWindow="-120" yWindow="-120" windowWidth="20730" windowHeight="11040" xr2:uid="{3F256251-7061-49B2-9B0B-301EC1E08ECF}"/>
  </bookViews>
  <sheets>
    <sheet name="CROX DCF" sheetId="1" r:id="rId1"/>
    <sheet name="Raw IS" sheetId="3" r:id="rId2"/>
    <sheet name="Raw CF" sheetId="4" r:id="rId3"/>
    <sheet name="WACC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2" l="1"/>
  <c r="G14" i="2"/>
  <c r="D60" i="1"/>
  <c r="D62" i="1"/>
  <c r="I44" i="1"/>
  <c r="J44" i="1"/>
  <c r="K44" i="1"/>
  <c r="L44" i="1"/>
  <c r="M44" i="1"/>
  <c r="M40" i="1"/>
  <c r="N40" i="1"/>
  <c r="O40" i="1"/>
  <c r="P40" i="1"/>
  <c r="Q40" i="1"/>
  <c r="R40" i="1"/>
  <c r="L40" i="1"/>
  <c r="I33" i="1"/>
  <c r="J33" i="1"/>
  <c r="K33" i="1"/>
  <c r="L33" i="1"/>
  <c r="M33" i="1"/>
  <c r="N33" i="1"/>
  <c r="I25" i="1"/>
  <c r="J25" i="1"/>
  <c r="K25" i="1"/>
  <c r="L25" i="1"/>
  <c r="M25" i="1"/>
  <c r="N25" i="1"/>
  <c r="J19" i="1"/>
  <c r="K19" i="1"/>
  <c r="L19" i="1"/>
  <c r="M19" i="1"/>
  <c r="N19" i="1"/>
  <c r="I19" i="1"/>
  <c r="O17" i="1"/>
  <c r="P17" i="1"/>
  <c r="Q17" i="1" s="1"/>
  <c r="R17" i="1" s="1"/>
  <c r="N17" i="1"/>
  <c r="I12" i="1"/>
  <c r="D53" i="1"/>
  <c r="E53" i="1"/>
  <c r="F53" i="1"/>
  <c r="G53" i="1"/>
  <c r="H53" i="1"/>
  <c r="C53" i="1"/>
  <c r="G36" i="1"/>
  <c r="H36" i="1"/>
  <c r="F36" i="1"/>
  <c r="C49" i="1"/>
  <c r="G46" i="1"/>
  <c r="H46" i="1"/>
  <c r="F46" i="1"/>
  <c r="D46" i="1"/>
  <c r="E46" i="1"/>
  <c r="C46" i="1"/>
  <c r="G43" i="1"/>
  <c r="H43" i="1"/>
  <c r="F43" i="1"/>
  <c r="D43" i="1"/>
  <c r="E43" i="1"/>
  <c r="C43" i="1"/>
  <c r="G40" i="1"/>
  <c r="H40" i="1"/>
  <c r="F40" i="1"/>
  <c r="D40" i="1"/>
  <c r="E40" i="1"/>
  <c r="C40" i="1"/>
  <c r="D36" i="1"/>
  <c r="E36" i="1"/>
  <c r="C36" i="1"/>
  <c r="C31" i="1"/>
  <c r="G28" i="1"/>
  <c r="H28" i="1"/>
  <c r="F28" i="1"/>
  <c r="D28" i="1"/>
  <c r="E28" i="1"/>
  <c r="C28" i="1"/>
  <c r="C27" i="1"/>
  <c r="D25" i="1"/>
  <c r="E25" i="1"/>
  <c r="F25" i="1"/>
  <c r="G25" i="1"/>
  <c r="H25" i="1"/>
  <c r="C25" i="1"/>
  <c r="G22" i="1"/>
  <c r="H22" i="1"/>
  <c r="F22" i="1"/>
  <c r="E22" i="1"/>
  <c r="D22" i="1"/>
  <c r="C22" i="1"/>
  <c r="G19" i="1"/>
  <c r="H19" i="1"/>
  <c r="F19" i="1"/>
  <c r="D19" i="1"/>
  <c r="E19" i="1"/>
  <c r="C19" i="1"/>
  <c r="G14" i="1"/>
  <c r="H14" i="1"/>
  <c r="F14" i="1"/>
  <c r="D14" i="1"/>
  <c r="E14" i="1"/>
  <c r="C14" i="1"/>
  <c r="G11" i="1"/>
  <c r="H11" i="1"/>
  <c r="F11" i="1"/>
  <c r="D11" i="1"/>
  <c r="E11" i="1"/>
  <c r="C11" i="1"/>
  <c r="L62" i="1" l="1"/>
  <c r="L63" i="1" s="1"/>
  <c r="D6" i="2"/>
  <c r="D63" i="1"/>
  <c r="C12" i="2" s="1"/>
  <c r="I23" i="1"/>
  <c r="D16" i="1"/>
  <c r="C16" i="1"/>
  <c r="L60" i="1"/>
  <c r="L59" i="1" s="1"/>
  <c r="G12" i="2"/>
  <c r="J9" i="1"/>
  <c r="K9" i="1" s="1"/>
  <c r="L9" i="1" s="1"/>
  <c r="M9" i="1" s="1"/>
  <c r="N9" i="1" s="1"/>
  <c r="O9" i="1" s="1"/>
  <c r="P9" i="1" s="1"/>
  <c r="Q9" i="1" s="1"/>
  <c r="R9" i="1" s="1"/>
  <c r="D27" i="1" l="1"/>
  <c r="D31" i="1" s="1"/>
  <c r="D51" i="1" s="1"/>
  <c r="H41" i="1"/>
  <c r="I41" i="1"/>
  <c r="D41" i="1"/>
  <c r="E23" i="1"/>
  <c r="E20" i="1"/>
  <c r="F16" i="1"/>
  <c r="F17" i="1" s="1"/>
  <c r="G16" i="1"/>
  <c r="G27" i="1" s="1"/>
  <c r="C23" i="1"/>
  <c r="D23" i="1"/>
  <c r="F27" i="1"/>
  <c r="F31" i="1" s="1"/>
  <c r="F51" i="1" s="1"/>
  <c r="G23" i="1"/>
  <c r="H23" i="1"/>
  <c r="F23" i="1"/>
  <c r="C41" i="1"/>
  <c r="E16" i="1"/>
  <c r="E27" i="1" s="1"/>
  <c r="H16" i="1"/>
  <c r="E41" i="1"/>
  <c r="D47" i="1"/>
  <c r="F12" i="1"/>
  <c r="F20" i="1"/>
  <c r="C29" i="1"/>
  <c r="D29" i="1"/>
  <c r="H29" i="1"/>
  <c r="E29" i="1"/>
  <c r="F29" i="1"/>
  <c r="G29" i="1"/>
  <c r="I28" i="1"/>
  <c r="C47" i="1"/>
  <c r="F44" i="1"/>
  <c r="F47" i="1"/>
  <c r="G44" i="1"/>
  <c r="E47" i="1"/>
  <c r="G47" i="1"/>
  <c r="G41" i="1"/>
  <c r="G12" i="1"/>
  <c r="F41" i="1"/>
  <c r="G20" i="1"/>
  <c r="D20" i="1"/>
  <c r="C20" i="1"/>
  <c r="D12" i="1"/>
  <c r="D44" i="1"/>
  <c r="H12" i="1"/>
  <c r="E31" i="1"/>
  <c r="E51" i="1" s="1"/>
  <c r="I16" i="1"/>
  <c r="I14" i="1" s="1"/>
  <c r="D17" i="1"/>
  <c r="C17" i="1"/>
  <c r="H20" i="1"/>
  <c r="C44" i="1"/>
  <c r="H44" i="1"/>
  <c r="H47" i="1"/>
  <c r="E12" i="1"/>
  <c r="E44" i="1"/>
  <c r="K12" i="2"/>
  <c r="G13" i="2" s="1"/>
  <c r="C33" i="1" l="1"/>
  <c r="C51" i="1"/>
  <c r="H27" i="1"/>
  <c r="H33" i="1" s="1"/>
  <c r="G17" i="1"/>
  <c r="G31" i="1"/>
  <c r="G51" i="1" s="1"/>
  <c r="G33" i="1"/>
  <c r="G49" i="1" s="1"/>
  <c r="H31" i="1"/>
  <c r="H51" i="1" s="1"/>
  <c r="E17" i="1"/>
  <c r="E33" i="1"/>
  <c r="H17" i="1"/>
  <c r="C13" i="2"/>
  <c r="K14" i="2" s="1"/>
  <c r="E5" i="1" s="1"/>
  <c r="F33" i="1"/>
  <c r="F49" i="1" s="1"/>
  <c r="D33" i="1"/>
  <c r="D49" i="1" s="1"/>
  <c r="G34" i="1" l="1"/>
  <c r="G37" i="1"/>
  <c r="H49" i="1"/>
  <c r="E49" i="1"/>
  <c r="E34" i="1"/>
  <c r="E37" i="1"/>
  <c r="H34" i="1"/>
  <c r="F37" i="1"/>
  <c r="D34" i="1"/>
  <c r="D37" i="1"/>
  <c r="F34" i="1"/>
  <c r="H37" i="1"/>
  <c r="C37" i="1" l="1"/>
  <c r="C34" i="1"/>
  <c r="I46" i="1"/>
  <c r="I53" i="1" s="1"/>
  <c r="I27" i="1" l="1"/>
  <c r="I31" i="1" l="1"/>
  <c r="I51" i="1" s="1"/>
  <c r="I36" i="1" l="1"/>
  <c r="I49" i="1" l="1"/>
  <c r="I54" i="1" l="1"/>
  <c r="J41" i="1" l="1"/>
  <c r="J46" i="1"/>
  <c r="J53" i="1" s="1"/>
  <c r="J23" i="1"/>
  <c r="J28" i="1"/>
  <c r="J16" i="1"/>
  <c r="J14" i="1" s="1"/>
  <c r="J12" i="1"/>
  <c r="J27" i="1" l="1"/>
  <c r="J31" i="1"/>
  <c r="J36" i="1" l="1"/>
  <c r="J49" i="1" s="1"/>
  <c r="J54" i="1" s="1"/>
  <c r="J51" i="1"/>
  <c r="K28" i="1" l="1"/>
  <c r="K41" i="1"/>
  <c r="K46" i="1"/>
  <c r="K53" i="1" s="1"/>
  <c r="K23" i="1"/>
  <c r="K16" i="1"/>
  <c r="K12" i="1"/>
  <c r="K14" i="1" l="1"/>
  <c r="K27" i="1"/>
  <c r="K31" i="1" l="1"/>
  <c r="K36" i="1" l="1"/>
  <c r="K51" i="1" s="1"/>
  <c r="L16" i="1"/>
  <c r="L23" i="1"/>
  <c r="L14" i="1"/>
  <c r="L46" i="1"/>
  <c r="L53" i="1" s="1"/>
  <c r="L28" i="1"/>
  <c r="L12" i="1"/>
  <c r="L27" i="1" l="1"/>
  <c r="L31" i="1" s="1"/>
  <c r="K49" i="1"/>
  <c r="K54" i="1" s="1"/>
  <c r="L36" i="1" l="1"/>
  <c r="L49" i="1" s="1"/>
  <c r="L54" i="1" s="1"/>
  <c r="L51" i="1" l="1"/>
  <c r="M16" i="1"/>
  <c r="M23" i="1"/>
  <c r="M28" i="1"/>
  <c r="M46" i="1"/>
  <c r="M53" i="1" s="1"/>
  <c r="M12" i="1"/>
  <c r="M27" i="1" l="1"/>
  <c r="M14" i="1"/>
  <c r="M31" i="1" l="1"/>
  <c r="M36" i="1" l="1"/>
  <c r="M51" i="1" s="1"/>
  <c r="M49" i="1" l="1"/>
  <c r="M54" i="1" s="1"/>
  <c r="N11" i="1"/>
  <c r="N16" i="1" l="1"/>
  <c r="N46" i="1"/>
  <c r="N53" i="1" s="1"/>
  <c r="N23" i="1"/>
  <c r="N43" i="1"/>
  <c r="N14" i="1"/>
  <c r="N28" i="1"/>
  <c r="O11" i="1" l="1"/>
  <c r="O19" i="1" s="1"/>
  <c r="O25" i="1" s="1"/>
  <c r="O46" i="1" l="1"/>
  <c r="O53" i="1" s="1"/>
  <c r="O23" i="1"/>
  <c r="P11" i="1"/>
  <c r="P19" i="1" s="1"/>
  <c r="P25" i="1" s="1"/>
  <c r="O16" i="1"/>
  <c r="O28" i="1"/>
  <c r="O43" i="1"/>
  <c r="O14" i="1" l="1"/>
  <c r="P16" i="1"/>
  <c r="P23" i="1"/>
  <c r="P46" i="1"/>
  <c r="P53" i="1" s="1"/>
  <c r="P28" i="1"/>
  <c r="Q11" i="1"/>
  <c r="Q19" i="1" s="1"/>
  <c r="Q25" i="1" s="1"/>
  <c r="P43" i="1"/>
  <c r="P14" i="1" l="1"/>
  <c r="Q16" i="1"/>
  <c r="Q28" i="1"/>
  <c r="Q23" i="1"/>
  <c r="R11" i="1"/>
  <c r="R19" i="1" s="1"/>
  <c r="R25" i="1" s="1"/>
  <c r="Q46" i="1"/>
  <c r="Q53" i="1" s="1"/>
  <c r="Q43" i="1"/>
  <c r="Q14" i="1" l="1"/>
  <c r="R16" i="1"/>
  <c r="R27" i="1" s="1"/>
  <c r="R43" i="1"/>
  <c r="R28" i="1"/>
  <c r="R46" i="1"/>
  <c r="R53" i="1" s="1"/>
  <c r="R14" i="1"/>
  <c r="R23" i="1"/>
  <c r="P27" i="1"/>
  <c r="R31" i="1" l="1"/>
  <c r="R33" i="1"/>
  <c r="R36" i="1" s="1"/>
  <c r="R51" i="1" s="1"/>
  <c r="S51" i="1" s="1"/>
  <c r="T51" i="1" s="1"/>
  <c r="U51" i="1" s="1"/>
  <c r="V51" i="1" s="1"/>
  <c r="W51" i="1" s="1"/>
  <c r="X51" i="1" s="1"/>
  <c r="Y51" i="1" s="1"/>
  <c r="Z51" i="1" s="1"/>
  <c r="AA51" i="1" s="1"/>
  <c r="AB51" i="1" s="1"/>
  <c r="AC51" i="1" s="1"/>
  <c r="AD51" i="1" s="1"/>
  <c r="AE51" i="1" s="1"/>
  <c r="AF51" i="1" s="1"/>
  <c r="AG51" i="1" s="1"/>
  <c r="AH51" i="1" s="1"/>
  <c r="AI51" i="1" s="1"/>
  <c r="AJ51" i="1" s="1"/>
  <c r="AK51" i="1" s="1"/>
  <c r="AL51" i="1" s="1"/>
  <c r="AM51" i="1" s="1"/>
  <c r="AN51" i="1" s="1"/>
  <c r="AO51" i="1" s="1"/>
  <c r="AP51" i="1" s="1"/>
  <c r="AQ51" i="1" s="1"/>
  <c r="AR51" i="1" s="1"/>
  <c r="AS51" i="1" s="1"/>
  <c r="AT51" i="1" s="1"/>
  <c r="AU51" i="1" s="1"/>
  <c r="AV51" i="1" s="1"/>
  <c r="AW51" i="1" s="1"/>
  <c r="AX51" i="1" s="1"/>
  <c r="AY51" i="1" s="1"/>
  <c r="AZ51" i="1" s="1"/>
  <c r="BA51" i="1" s="1"/>
  <c r="BB51" i="1" s="1"/>
  <c r="BC51" i="1" s="1"/>
  <c r="BD51" i="1" s="1"/>
  <c r="BE51" i="1" s="1"/>
  <c r="BF51" i="1" s="1"/>
  <c r="BG51" i="1" s="1"/>
  <c r="BH51" i="1" s="1"/>
  <c r="BI51" i="1" s="1"/>
  <c r="BJ51" i="1" s="1"/>
  <c r="BK51" i="1" s="1"/>
  <c r="BL51" i="1" s="1"/>
  <c r="BM51" i="1" s="1"/>
  <c r="BN51" i="1" s="1"/>
  <c r="BO51" i="1" s="1"/>
  <c r="BP51" i="1" s="1"/>
  <c r="BQ51" i="1" s="1"/>
  <c r="BR51" i="1" s="1"/>
  <c r="BS51" i="1" s="1"/>
  <c r="BT51" i="1" s="1"/>
  <c r="BU51" i="1" s="1"/>
  <c r="BV51" i="1" s="1"/>
  <c r="BW51" i="1" s="1"/>
  <c r="BX51" i="1" s="1"/>
  <c r="BY51" i="1" s="1"/>
  <c r="BZ51" i="1" s="1"/>
  <c r="CA51" i="1" s="1"/>
  <c r="CB51" i="1" s="1"/>
  <c r="CC51" i="1" s="1"/>
  <c r="CD51" i="1" s="1"/>
  <c r="CE51" i="1" s="1"/>
  <c r="CF51" i="1" s="1"/>
  <c r="CG51" i="1" s="1"/>
  <c r="CH51" i="1" s="1"/>
  <c r="P31" i="1"/>
  <c r="P33" i="1"/>
  <c r="N36" i="1"/>
  <c r="N49" i="1" s="1"/>
  <c r="N54" i="1" s="1"/>
  <c r="Q27" i="1"/>
  <c r="O27" i="1"/>
  <c r="N27" i="1"/>
  <c r="N31" i="1" s="1"/>
  <c r="N51" i="1" s="1"/>
  <c r="P36" i="1" l="1"/>
  <c r="P51" i="1" s="1"/>
  <c r="Q31" i="1"/>
  <c r="Q33" i="1"/>
  <c r="O31" i="1"/>
  <c r="O33" i="1"/>
  <c r="O36" i="1" s="1"/>
  <c r="O49" i="1" s="1"/>
  <c r="O54" i="1" s="1"/>
  <c r="R49" i="1"/>
  <c r="P49" i="1" l="1"/>
  <c r="P54" i="1" s="1"/>
  <c r="Q36" i="1"/>
  <c r="Q49" i="1" s="1"/>
  <c r="Q54" i="1" s="1"/>
  <c r="O51" i="1"/>
  <c r="C56" i="1"/>
  <c r="C57" i="1" s="1"/>
  <c r="R54" i="1"/>
  <c r="Q51" i="1" l="1"/>
  <c r="F56" i="1" s="1"/>
  <c r="H59" i="1" s="1"/>
  <c r="H61" i="1" s="1"/>
  <c r="H64" i="1" s="1"/>
  <c r="G59" i="1"/>
  <c r="G61" i="1" s="1"/>
  <c r="G64" i="1" s="1"/>
  <c r="E64" i="1" l="1"/>
  <c r="L58" i="1" s="1"/>
  <c r="J6" i="1" l="1"/>
  <c r="N5" i="1" s="1"/>
</calcChain>
</file>

<file path=xl/sharedStrings.xml><?xml version="1.0" encoding="utf-8"?>
<sst xmlns="http://schemas.openxmlformats.org/spreadsheetml/2006/main" count="244" uniqueCount="152">
  <si>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</si>
  <si>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</si>
  <si>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</si>
  <si>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</si>
  <si>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</si>
  <si>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</si>
  <si>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</si>
  <si>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</si>
  <si>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</si>
  <si>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</si>
  <si>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</si>
  <si>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</si>
  <si>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Opex</t>
  </si>
  <si>
    <t>Operating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</si>
  <si>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</si>
  <si>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</si>
  <si>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</si>
  <si>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</si>
  <si>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</si>
  <si>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</si>
  <si>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</si>
  <si>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</si>
  <si>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</si>
  <si>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</si>
  <si>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</si>
  <si>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</si>
  <si>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</si>
  <si>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</si>
  <si>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</si>
  <si>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</si>
  <si>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</si>
  <si>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</si>
  <si>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</si>
  <si>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</si>
  <si>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</si>
  <si>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</si>
  <si>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</si>
  <si>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</si>
  <si>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</si>
  <si>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SG&amp;A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</si>
  <si>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</si>
  <si>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</si>
  <si>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</si>
  <si>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</si>
  <si>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</si>
  <si>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</si>
  <si>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</si>
  <si>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</si>
  <si>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</si>
  <si>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</si>
  <si>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NCI</t>
  </si>
  <si>
    <t>CONSOLIDATED STATEMENTS OF OPERATIONS</t>
  </si>
  <si>
    <t>CONSOLIDATED STATEMENTS OF CASH FLOWS</t>
  </si>
  <si>
    <t>Other income</t>
  </si>
  <si>
    <t>Terminal Growth Rate</t>
  </si>
  <si>
    <t xml:space="preserve">Other </t>
  </si>
  <si>
    <t>Revenues</t>
  </si>
  <si>
    <t>Basic</t>
  </si>
  <si>
    <t>Diluted</t>
  </si>
  <si>
    <t>Net income per share — basic</t>
  </si>
  <si>
    <t>Diluted:</t>
  </si>
  <si>
    <t>Net income per share — diluted</t>
  </si>
  <si>
    <t>Dividends declared per share</t>
  </si>
  <si>
    <t>Income taxes</t>
  </si>
  <si>
    <t>CROCS, INC. AND SUBSIDIARIES</t>
  </si>
  <si>
    <t/>
  </si>
  <si>
    <t>(in thousands, except per share data)</t>
  </si>
  <si>
    <t>Year Ended December 31,</t>
  </si>
  <si>
    <t>Cost of sales</t>
  </si>
  <si>
    <t>Gross profit</t>
  </si>
  <si>
    <t>Selling, general and administrative expenses</t>
  </si>
  <si>
    <t>Asset impairments</t>
  </si>
  <si>
    <t>Income from operations</t>
  </si>
  <si>
    <t>Foreign currency gains (losses), net</t>
  </si>
  <si>
    <t>Interest income</t>
  </si>
  <si>
    <t>Interest expense</t>
  </si>
  <si>
    <t>Other income (expense), net</t>
  </si>
  <si>
    <t>Income before income taxes</t>
  </si>
  <si>
    <t>Income tax expense (benefit)</t>
  </si>
  <si>
    <t>Net income per common share:</t>
  </si>
  <si>
    <t>Weighted average common shares outstanding:</t>
  </si>
  <si>
    <t>(in thousands)</t>
  </si>
  <si>
    <t>Cash flows from operating activities:</t>
  </si>
  <si>
    <t>Adjustments to reconcile net income to net cash</t>
  </si>
  <si>
    <t>provided by operating activities:</t>
  </si>
  <si>
    <t>Depreciation and amortization</t>
  </si>
  <si>
    <t>Loss on disposal of assets (1)</t>
  </si>
  <si>
    <t>Operating lease cost</t>
  </si>
  <si>
    <t>Inventory donations</t>
  </si>
  <si>
    <t>Provision (recovery) for doubtful accounts, net</t>
  </si>
  <si>
    <t>Share-based compensation</t>
  </si>
  <si>
    <t>Deferred taxes</t>
  </si>
  <si>
    <t>Other non-cash items (1)</t>
  </si>
  <si>
    <t>Changes in operating assets and liabilities, net of</t>
  </si>
  <si>
    <t>acquired assets and assumed liabilities:</t>
  </si>
  <si>
    <t>Accounts receivable, net of allowances</t>
  </si>
  <si>
    <t>Inventories</t>
  </si>
  <si>
    <t>Prepaid expenses and other assets</t>
  </si>
  <si>
    <t>Accounts payable</t>
  </si>
  <si>
    <t>Accrued expenses and other liabilities</t>
  </si>
  <si>
    <t>Right-of-use assets and operating lease liabilities</t>
  </si>
  <si>
    <t>Cash provided by operating activities</t>
  </si>
  <si>
    <t>Cash flows from investing activities:</t>
  </si>
  <si>
    <t>Purchases of property, equipment, and software</t>
  </si>
  <si>
    <t>Acquisition of HEYDUDE, net of cash acquired</t>
  </si>
  <si>
    <t>Other (1)</t>
  </si>
  <si>
    <t>Cash used in investing activities</t>
  </si>
  <si>
    <t>Cash flows from financing activities:</t>
  </si>
  <si>
    <t>Proceeds from notes issuance</t>
  </si>
  <si>
    <t>Proceeds from bank borrowings</t>
  </si>
  <si>
    <t>Repayments of bank borrowings</t>
  </si>
  <si>
    <t>Deferred debt issuance costs</t>
  </si>
  <si>
    <t>Repurchases of common stock</t>
  </si>
  <si>
    <t>Repurchases of common stock for tax withholding</t>
  </si>
  <si>
    <t>Other</t>
  </si>
  <si>
    <t>Cash provided by (used in) financing activities</t>
  </si>
  <si>
    <t>Effect of exchange rate changes on cash, cash</t>
  </si>
  <si>
    <t>equivalents, and restricted cash</t>
  </si>
  <si>
    <t>Net change in cash, cash equivalents, and restricted</t>
  </si>
  <si>
    <t>cash</t>
  </si>
  <si>
    <t>Cash, cash equivalents, and restricted cash -</t>
  </si>
  <si>
    <t>beginning of year</t>
  </si>
  <si>
    <t>Cash, cash equivalents, and restricted cash - end of</t>
  </si>
  <si>
    <t>year</t>
  </si>
  <si>
    <t>Cash paid for interest</t>
  </si>
  <si>
    <t>Cash paid for income taxes</t>
  </si>
  <si>
    <t>Cash paid for operating leases</t>
  </si>
  <si>
    <t>Right-of-use assets obtained in exchange for</t>
  </si>
  <si>
    <t>operating lease liabilities, net of terminations</t>
  </si>
  <si>
    <t>Accrued purchases of property, equipment, and</t>
  </si>
  <si>
    <t>software</t>
  </si>
  <si>
    <t>Share issuance at Acquisition</t>
  </si>
  <si>
    <t>Other income, net</t>
  </si>
  <si>
    <t>Dividends on Series A convertible preferred stock (1)</t>
  </si>
  <si>
    <t>Dividend equivalents on Series A convertible preferred</t>
  </si>
  <si>
    <t>stock related to redemption value accretion and</t>
  </si>
  <si>
    <t>beneficial conversion feature (1)</t>
  </si>
  <si>
    <t>Net income (loss) attributable to common stockholders</t>
  </si>
  <si>
    <t>Net income (loss) per common share:</t>
  </si>
  <si>
    <t>Unrealized foreign currency loss (gain), net</t>
  </si>
  <si>
    <t>Loss (gain) on disposals of assets</t>
  </si>
  <si>
    <t>Other non-cash items</t>
  </si>
  <si>
    <t>Changes in operating assets and liabilities:</t>
  </si>
  <si>
    <t>Operating lease liabilities</t>
  </si>
  <si>
    <t>Proceeds from disposal of property and equipment</t>
  </si>
  <si>
    <t>Proceeds from borrowings</t>
  </si>
  <si>
    <t>Repayments of borrowings</t>
  </si>
  <si>
    <t>Series A preferred stock repurchase</t>
  </si>
  <si>
    <t>Dividends - Series A convertible preferred stock (1)</t>
  </si>
  <si>
    <t>Cash used in financing activities</t>
  </si>
  <si>
    <t>Crocs DCF</t>
  </si>
  <si>
    <t>Update: 29/08/2023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</si>
</sst>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%"/>
    <numFmt numFmtId="165" formatCode="_(\$* #,##0_);_(\$* \(#,##0\);_(\$* \-_);_(@_)"/>
    <numFmt numFmtId="166" formatCode="\(#,##0_);[Red]\(#,##0\)"/>
    <numFmt numFmtId="167" formatCode="_(\$* #,##0.00_);_(\$* \(#,##0.00\);_(\$* \-??_);_(@_)"/>
    <numFmt numFmtId="168" formatCode="_(&quot;$&quot;* #,##0_);_(&quot;$&quot;* \(#,##0\);_(&quot;$&quot;* &quot;-&quot;_);_(@_)"/>
    <numFmt numFmtId="169" formatCode="_(* #,##0.00_);_(* \(#,##0.00\);_(* &quot;-&quot;??_);_(@_)"/>
    <numFmt numFmtId="170" formatCode="_(&quot;$&quot;* #,##0.00_);_(&quot;$&quot;* \(#,##0.00\);_(&quot;$&quot;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charset val="1"/>
    </font>
    <font>
      <b/>
      <i/>
      <sz val="11"/>
      <color indexed="8"/>
      <name val="Calibri"/>
      <family val="2"/>
      <charset val="1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1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3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1" fontId="3" fillId="2" borderId="0" xfId="0" applyNumberFormat="1" applyFont="1" applyFill="1"/>
    <xf numFmtId="164" fontId="7" fillId="2" borderId="3" xfId="1" applyNumberFormat="1" applyFont="1" applyFill="1" applyBorder="1"/>
    <xf numFmtId="1" fontId="3" fillId="2" borderId="3" xfId="0" applyNumberFormat="1" applyFont="1" applyFill="1" applyBorder="1"/>
    <xf numFmtId="10" fontId="3" fillId="2" borderId="0" xfId="1" applyNumberFormat="1" applyFont="1" applyFill="1"/>
    <xf numFmtId="0" fontId="0" fillId="2" borderId="3" xfId="0" applyFill="1" applyBorder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4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0" fillId="2" borderId="6" xfId="0" applyFill="1" applyBorder="1"/>
    <xf numFmtId="0" fontId="3" fillId="2" borderId="8" xfId="0" applyFont="1" applyFill="1" applyBorder="1"/>
    <xf numFmtId="2" fontId="6" fillId="2" borderId="0" xfId="0" applyNumberFormat="1" applyFont="1" applyFill="1"/>
    <xf numFmtId="2" fontId="2" fillId="2" borderId="0" xfId="0" applyNumberFormat="1" applyFont="1" applyFill="1"/>
    <xf numFmtId="3" fontId="0" fillId="0" borderId="0" xfId="0" applyNumberFormat="1"/>
    <xf numFmtId="3" fontId="3" fillId="2" borderId="3" xfId="0" applyNumberFormat="1" applyFont="1" applyFill="1" applyBorder="1"/>
    <xf numFmtId="0" fontId="8" fillId="2" borderId="0" xfId="0" applyFont="1" applyFill="1"/>
    <xf numFmtId="0" fontId="0" fillId="2" borderId="1" xfId="0" applyFill="1" applyBorder="1"/>
    <xf numFmtId="0" fontId="0" fillId="2" borderId="5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0" fontId="2" fillId="2" borderId="9" xfId="0" applyFont="1" applyFill="1" applyBorder="1"/>
    <xf numFmtId="0" fontId="0" fillId="2" borderId="10" xfId="0" applyFill="1" applyBorder="1"/>
    <xf numFmtId="10" fontId="2" fillId="2" borderId="11" xfId="0" applyNumberFormat="1" applyFont="1" applyFill="1" applyBorder="1"/>
    <xf numFmtId="0" fontId="0" fillId="8" borderId="0" xfId="0" applyFill="1"/>
    <xf numFmtId="1" fontId="3" fillId="8" borderId="0" xfId="0" applyNumberFormat="1" applyFont="1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8" borderId="0" xfId="0" applyNumberFormat="1" applyFill="1" applyAlignment="1">
      <alignment horizontal="left"/>
    </xf>
    <xf numFmtId="164" fontId="0" fillId="8" borderId="0" xfId="1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2" fontId="3" fillId="2" borderId="0" xfId="0" applyNumberFormat="1" applyFont="1" applyFill="1"/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1" fontId="3" fillId="2" borderId="5" xfId="0" applyNumberFormat="1" applyFont="1" applyFill="1" applyBorder="1"/>
    <xf numFmtId="0" fontId="6" fillId="4" borderId="3" xfId="0" applyFont="1" applyFill="1" applyBorder="1"/>
    <xf numFmtId="0" fontId="6" fillId="3" borderId="3" xfId="0" applyFont="1" applyFill="1" applyBorder="1"/>
    <xf numFmtId="0" fontId="3" fillId="2" borderId="0" xfId="1" applyNumberFormat="1" applyFont="1" applyFill="1"/>
    <xf numFmtId="37" fontId="3" fillId="2" borderId="0" xfId="0" applyNumberFormat="1" applyFont="1" applyFill="1"/>
    <xf numFmtId="164" fontId="7" fillId="2" borderId="0" xfId="1" applyNumberFormat="1" applyFont="1" applyFill="1" applyBorder="1"/>
    <xf numFmtId="1" fontId="3" fillId="2" borderId="12" xfId="0" applyNumberFormat="1" applyFont="1" applyFill="1" applyBorder="1"/>
    <xf numFmtId="1" fontId="3" fillId="2" borderId="1" xfId="0" applyNumberFormat="1" applyFont="1" applyFill="1" applyBorder="1"/>
    <xf numFmtId="0" fontId="3" fillId="2" borderId="13" xfId="0" applyFont="1" applyFill="1" applyBorder="1"/>
    <xf numFmtId="0" fontId="7" fillId="11" borderId="0" xfId="0" applyFont="1" applyFill="1"/>
    <xf numFmtId="164" fontId="7" fillId="11" borderId="0" xfId="1" applyNumberFormat="1" applyFont="1" applyFill="1"/>
    <xf numFmtId="164" fontId="7" fillId="11" borderId="3" xfId="1" applyNumberFormat="1" applyFont="1" applyFill="1" applyBorder="1"/>
    <xf numFmtId="164" fontId="7" fillId="11" borderId="0" xfId="1" applyNumberFormat="1" applyFont="1" applyFill="1" applyBorder="1"/>
    <xf numFmtId="164" fontId="3" fillId="11" borderId="0" xfId="1" applyNumberFormat="1" applyFont="1" applyFill="1"/>
    <xf numFmtId="164" fontId="7" fillId="11" borderId="3" xfId="0" applyNumberFormat="1" applyFont="1" applyFill="1" applyBorder="1"/>
    <xf numFmtId="164" fontId="0" fillId="8" borderId="0" xfId="0" applyNumberFormat="1" applyFill="1" applyAlignment="1">
      <alignment horizontal="center"/>
    </xf>
    <xf numFmtId="0" fontId="10" fillId="0" borderId="0" xfId="0" applyFont="1"/>
    <xf numFmtId="167" fontId="0" fillId="0" borderId="0" xfId="0" applyNumberFormat="1"/>
    <xf numFmtId="165" fontId="0" fillId="0" borderId="0" xfId="0" applyNumberFormat="1"/>
    <xf numFmtId="3" fontId="3" fillId="2" borderId="0" xfId="1" applyNumberFormat="1" applyFont="1" applyFill="1"/>
    <xf numFmtId="3" fontId="0" fillId="0" borderId="1" xfId="0" applyNumberFormat="1" applyBorder="1"/>
    <xf numFmtId="164" fontId="3" fillId="2" borderId="3" xfId="0" applyNumberFormat="1" applyFont="1" applyFill="1" applyBorder="1"/>
    <xf numFmtId="0" fontId="11" fillId="0" borderId="0" xfId="0" applyFont="1"/>
    <xf numFmtId="166" fontId="0" fillId="0" borderId="0" xfId="0" applyNumberFormat="1"/>
    <xf numFmtId="0" fontId="3" fillId="9" borderId="0" xfId="0" applyFont="1" applyFill="1" applyAlignment="1">
      <alignment horizontal="center"/>
    </xf>
    <xf numFmtId="0" fontId="0" fillId="0" borderId="0" xfId="0" applyAlignment="1">
      <alignment vertical="top"/>
    </xf>
    <xf numFmtId="0" fontId="12" fillId="0" borderId="0" xfId="0" applyFont="1" applyAlignment="1">
      <alignment vertical="top"/>
    </xf>
    <xf numFmtId="168" fontId="12" fillId="0" borderId="0" xfId="0" applyNumberFormat="1" applyFont="1" applyAlignment="1">
      <alignment vertical="top"/>
    </xf>
    <xf numFmtId="37" fontId="12" fillId="0" borderId="0" xfId="0" applyNumberFormat="1" applyFont="1" applyAlignment="1">
      <alignment vertical="top"/>
    </xf>
    <xf numFmtId="169" fontId="12" fillId="0" borderId="0" xfId="0" applyNumberFormat="1" applyFont="1" applyAlignment="1">
      <alignment vertical="top"/>
    </xf>
    <xf numFmtId="170" fontId="12" fillId="0" borderId="0" xfId="0" applyNumberFormat="1" applyFont="1" applyAlignment="1">
      <alignment vertical="top"/>
    </xf>
    <xf numFmtId="0" fontId="12" fillId="0" borderId="0" xfId="0" applyFont="1" applyAlignment="1">
      <alignment vertical="top" shrinkToFit="1"/>
    </xf>
    <xf numFmtId="164" fontId="0" fillId="2" borderId="0" xfId="1" applyNumberFormat="1" applyFont="1" applyFill="1" applyAlignment="1">
      <alignment horizontal="right"/>
    </xf>
    <xf numFmtId="1" fontId="3" fillId="2" borderId="0" xfId="0" applyNumberFormat="1" applyFont="1" applyFill="1" applyBorder="1"/>
    <xf numFmtId="10" fontId="3" fillId="2" borderId="0" xfId="0" applyNumberFormat="1" applyFont="1" applyFill="1" applyBorder="1"/>
    <xf numFmtId="0" fontId="3" fillId="2" borderId="0" xfId="0" applyFont="1" applyFill="1" applyBorder="1"/>
    <xf numFmtId="164" fontId="7" fillId="11" borderId="0" xfId="0" applyNumberFormat="1" applyFont="1" applyFill="1" applyBorder="1"/>
    <xf numFmtId="3" fontId="3" fillId="2" borderId="0" xfId="0" applyNumberFormat="1" applyFont="1" applyFill="1" applyBorder="1"/>
    <xf numFmtId="0" fontId="6" fillId="3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4064-8197-4774-A1FA-A1F3B33925A7}">
  <dimension ref="A1:CH65"/>
  <sheetViews>
    <sheetView tabSelected="1" zoomScaleNormal="100" workbookViewId="0">
      <selection activeCell="I62" sqref="I62"/>
    </sheetView>
  </sheetViews>
  <sheetFormatPr defaultRowHeight="15" x14ac:dyDescent="0.25"/>
  <cols>
    <col min="1" max="1" width="9.140625" style="2"/>
    <col min="2" max="2" width="17.28515625" style="2" customWidth="1"/>
    <col min="3" max="3" width="9.85546875" style="2" bestFit="1" customWidth="1"/>
    <col min="4" max="5" width="9.140625" style="2"/>
    <col min="6" max="6" width="11.85546875" style="2" bestFit="1" customWidth="1"/>
    <col min="7" max="7" width="10.140625" style="2" bestFit="1" customWidth="1"/>
    <col min="8" max="8" width="11.140625" style="2" bestFit="1" customWidth="1"/>
    <col min="9" max="9" width="9.28515625" style="2" customWidth="1"/>
    <col min="10" max="10" width="10.5703125" style="2" bestFit="1" customWidth="1"/>
    <col min="11" max="11" width="9.42578125" style="2" customWidth="1"/>
    <col min="12" max="12" width="10.5703125" style="2" bestFit="1" customWidth="1"/>
    <col min="13" max="15" width="11.5703125" style="2" bestFit="1" customWidth="1"/>
    <col min="16" max="17" width="12.5703125" style="2" bestFit="1" customWidth="1"/>
    <col min="18" max="18" width="10.5703125" style="2" bestFit="1" customWidth="1"/>
    <col min="19" max="16384" width="9.140625" style="2"/>
  </cols>
  <sheetData>
    <row r="1" spans="1:18" s="51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18" s="51" customFormat="1" ht="23.25" x14ac:dyDescent="0.35">
      <c r="A2" s="3"/>
      <c r="B2" s="4" t="s">
        <v>150</v>
      </c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0"/>
    </row>
    <row r="3" spans="1:18" s="51" customFormat="1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18" s="51" customFormat="1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1:18" s="51" customFormat="1" x14ac:dyDescent="0.25">
      <c r="A5" s="1"/>
      <c r="B5" s="1"/>
      <c r="C5" s="7" t="s">
        <v>1</v>
      </c>
      <c r="D5" s="1"/>
      <c r="E5" s="8">
        <f>WACC!K14</f>
        <v>0.14548853427842509</v>
      </c>
      <c r="F5" s="2"/>
      <c r="G5" s="1"/>
      <c r="H5" s="1" t="s">
        <v>2</v>
      </c>
      <c r="I5" s="1"/>
      <c r="J5" s="7">
        <v>96.84</v>
      </c>
      <c r="K5" s="1"/>
      <c r="L5" s="1" t="s">
        <v>3</v>
      </c>
      <c r="M5" s="1"/>
      <c r="N5" s="7">
        <f>(J6/J5)-1</f>
        <v>0.43829834404685397</v>
      </c>
      <c r="O5" s="1"/>
      <c r="P5" s="1" t="s">
        <v>151</v>
      </c>
      <c r="Q5" s="1"/>
      <c r="R5" s="2"/>
    </row>
    <row r="6" spans="1:18" s="51" customFormat="1" x14ac:dyDescent="0.25">
      <c r="A6" s="1"/>
      <c r="B6" s="1"/>
      <c r="C6" s="7" t="s">
        <v>4</v>
      </c>
      <c r="D6" s="1"/>
      <c r="E6" s="8">
        <v>0.03</v>
      </c>
      <c r="F6" s="2"/>
      <c r="G6" s="1"/>
      <c r="H6" s="1" t="s">
        <v>5</v>
      </c>
      <c r="I6" s="1"/>
      <c r="J6" s="57">
        <f>E64</f>
        <v>139.28481163749734</v>
      </c>
      <c r="K6" s="1"/>
      <c r="L6" s="1"/>
      <c r="M6" s="1"/>
      <c r="N6" s="1"/>
      <c r="O6" s="1"/>
      <c r="P6" s="1"/>
      <c r="Q6" s="1"/>
      <c r="R6" s="2"/>
    </row>
    <row r="7" spans="1:18" s="51" customFormat="1" x14ac:dyDescent="0.25">
      <c r="A7" s="1"/>
      <c r="B7" s="1"/>
      <c r="C7" s="1"/>
      <c r="D7" s="1"/>
      <c r="E7" s="8"/>
      <c r="F7" s="1"/>
      <c r="G7" s="1"/>
      <c r="H7" s="1"/>
      <c r="I7" s="1"/>
      <c r="J7" s="1"/>
      <c r="K7" s="18"/>
      <c r="L7" s="58"/>
      <c r="M7" s="1"/>
      <c r="N7" s="1"/>
      <c r="O7" s="1"/>
      <c r="P7" s="1"/>
      <c r="Q7" s="1"/>
      <c r="R7" s="2"/>
    </row>
    <row r="8" spans="1:18" s="51" customFormat="1" x14ac:dyDescent="0.25">
      <c r="A8" s="1"/>
      <c r="B8" s="1"/>
      <c r="C8" s="1"/>
      <c r="D8" s="1"/>
      <c r="E8" s="8"/>
      <c r="F8" s="1"/>
      <c r="G8" s="1"/>
      <c r="H8" s="1"/>
      <c r="I8" s="1"/>
      <c r="J8" s="1"/>
      <c r="K8" s="18"/>
      <c r="L8" s="1"/>
      <c r="M8" s="1"/>
      <c r="N8" s="1"/>
      <c r="O8" s="1"/>
      <c r="P8" s="1"/>
      <c r="Q8" s="1"/>
      <c r="R8" s="2"/>
    </row>
    <row r="9" spans="1:18" s="51" customFormat="1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18" s="51" customFormat="1" x14ac:dyDescent="0.25">
      <c r="A10" s="1"/>
      <c r="B10" s="9" t="s">
        <v>6</v>
      </c>
      <c r="C10" s="9">
        <v>2017</v>
      </c>
      <c r="D10" s="9">
        <v>2018</v>
      </c>
      <c r="E10" s="9">
        <v>2019</v>
      </c>
      <c r="F10" s="9">
        <v>2020</v>
      </c>
      <c r="G10" s="9">
        <v>2021</v>
      </c>
      <c r="H10" s="9">
        <v>2022</v>
      </c>
      <c r="I10" s="63">
        <v>2023</v>
      </c>
      <c r="J10" s="10">
        <v>2024</v>
      </c>
      <c r="K10" s="10">
        <v>2025</v>
      </c>
      <c r="L10" s="10">
        <v>2026</v>
      </c>
      <c r="M10" s="10">
        <v>2027</v>
      </c>
      <c r="N10" s="10">
        <v>2028</v>
      </c>
      <c r="O10" s="10">
        <v>2029</v>
      </c>
      <c r="P10" s="10">
        <v>2030</v>
      </c>
      <c r="Q10" s="10">
        <v>2031</v>
      </c>
      <c r="R10" s="10">
        <v>2032</v>
      </c>
    </row>
    <row r="11" spans="1:18" s="51" customFormat="1" x14ac:dyDescent="0.25">
      <c r="A11" s="1"/>
      <c r="B11" s="1" t="s">
        <v>7</v>
      </c>
      <c r="C11" s="11">
        <f>'Raw IS'!H7</f>
        <v>1023513</v>
      </c>
      <c r="D11" s="11">
        <f>'Raw IS'!I7</f>
        <v>1088205</v>
      </c>
      <c r="E11" s="11">
        <f>'Raw IS'!J7</f>
        <v>1230593</v>
      </c>
      <c r="F11" s="11">
        <f>'Raw IS'!B7</f>
        <v>1385951</v>
      </c>
      <c r="G11" s="11">
        <f>'Raw IS'!C7</f>
        <v>2313416</v>
      </c>
      <c r="H11" s="11">
        <f>'Raw IS'!D7</f>
        <v>3554985</v>
      </c>
      <c r="I11" s="20">
        <v>4010000</v>
      </c>
      <c r="J11" s="95">
        <v>4300000</v>
      </c>
      <c r="K11" s="95">
        <v>4660000</v>
      </c>
      <c r="L11" s="95">
        <v>5270000</v>
      </c>
      <c r="M11" s="95">
        <v>5770000</v>
      </c>
      <c r="N11" s="95">
        <f t="shared" ref="N11" si="1">M11*(1+N12)</f>
        <v>6173900</v>
      </c>
      <c r="O11" s="95">
        <f t="shared" ref="O11" si="2">N11*(1+O12)</f>
        <v>6482595</v>
      </c>
      <c r="P11" s="95">
        <f t="shared" ref="P11" si="3">O11*(1+P12)</f>
        <v>6741898.7999999998</v>
      </c>
      <c r="Q11" s="95">
        <f t="shared" ref="Q11" si="4">P11*(1+Q12)</f>
        <v>6944155.7640000004</v>
      </c>
      <c r="R11" s="95">
        <f t="shared" ref="R11" si="5">Q11*(1+R12)</f>
        <v>7152480.4369200002</v>
      </c>
    </row>
    <row r="12" spans="1:18" s="51" customFormat="1" x14ac:dyDescent="0.25">
      <c r="A12" s="1"/>
      <c r="B12" s="71" t="s">
        <v>8</v>
      </c>
      <c r="C12" s="72"/>
      <c r="D12" s="72">
        <f>(D11/C11)-1</f>
        <v>6.3205841059175594E-2</v>
      </c>
      <c r="E12" s="72">
        <f>(E11/D11)-1</f>
        <v>0.1308466695153947</v>
      </c>
      <c r="F12" s="72">
        <f>(F11/E11)-1</f>
        <v>0.12624645191383332</v>
      </c>
      <c r="G12" s="72">
        <f>(G11/F11)-1</f>
        <v>0.6691903249104767</v>
      </c>
      <c r="H12" s="72">
        <f>(H11/G11)-1</f>
        <v>0.53668211856406289</v>
      </c>
      <c r="I12" s="73">
        <f t="shared" ref="I12:R12" si="6">(I11/H11)-1</f>
        <v>0.12799350770818996</v>
      </c>
      <c r="J12" s="74">
        <f t="shared" si="6"/>
        <v>7.2319201995012516E-2</v>
      </c>
      <c r="K12" s="74">
        <f t="shared" si="6"/>
        <v>8.3720930232558111E-2</v>
      </c>
      <c r="L12" s="74">
        <f t="shared" si="6"/>
        <v>0.13090128755364816</v>
      </c>
      <c r="M12" s="74">
        <f t="shared" si="6"/>
        <v>9.4876660341556063E-2</v>
      </c>
      <c r="N12" s="74">
        <v>7.0000000000000007E-2</v>
      </c>
      <c r="O12" s="74">
        <v>0.05</v>
      </c>
      <c r="P12" s="74">
        <v>0.04</v>
      </c>
      <c r="Q12" s="74">
        <v>0.03</v>
      </c>
      <c r="R12" s="74">
        <v>0.03</v>
      </c>
    </row>
    <row r="13" spans="1:18" s="51" customFormat="1" x14ac:dyDescent="0.25">
      <c r="A13" s="1"/>
      <c r="B13" s="6"/>
      <c r="C13" s="1"/>
      <c r="D13" s="1"/>
      <c r="E13" s="1"/>
      <c r="F13" s="1"/>
      <c r="G13" s="1"/>
      <c r="H13" s="1"/>
      <c r="I13" s="83"/>
      <c r="J13" s="96"/>
      <c r="K13" s="96"/>
      <c r="L13" s="96"/>
      <c r="M13" s="96"/>
      <c r="N13" s="96"/>
      <c r="O13" s="96"/>
      <c r="P13" s="96"/>
      <c r="Q13" s="96"/>
      <c r="R13" s="96"/>
    </row>
    <row r="14" spans="1:18" s="51" customFormat="1" x14ac:dyDescent="0.25">
      <c r="A14" s="1"/>
      <c r="B14" s="1" t="s">
        <v>9</v>
      </c>
      <c r="C14" s="11">
        <f>'Raw IS'!H8</f>
        <v>506292</v>
      </c>
      <c r="D14" s="11">
        <f>'Raw IS'!I8</f>
        <v>528051</v>
      </c>
      <c r="E14" s="11">
        <f>'Raw IS'!J8</f>
        <v>613537</v>
      </c>
      <c r="F14" s="11">
        <f>'Raw IS'!B8</f>
        <v>636003</v>
      </c>
      <c r="G14" s="11">
        <f>'Raw IS'!C8</f>
        <v>893196</v>
      </c>
      <c r="H14" s="11">
        <f>'Raw IS'!D8</f>
        <v>1694703</v>
      </c>
      <c r="I14" s="68">
        <f>I11-I16</f>
        <v>1753573</v>
      </c>
      <c r="J14" s="69">
        <f t="shared" ref="J14:R14" si="7">J11-J16</f>
        <v>1879100.0000000005</v>
      </c>
      <c r="K14" s="69">
        <f t="shared" si="7"/>
        <v>2037818</v>
      </c>
      <c r="L14" s="69">
        <f t="shared" si="7"/>
        <v>2310895</v>
      </c>
      <c r="M14" s="69">
        <f t="shared" si="7"/>
        <v>2544569.9999999995</v>
      </c>
      <c r="N14" s="69">
        <f t="shared" si="7"/>
        <v>2741211.5999999996</v>
      </c>
      <c r="O14" s="69">
        <f t="shared" si="7"/>
        <v>2897719.9649999999</v>
      </c>
      <c r="P14" s="69">
        <f t="shared" si="7"/>
        <v>3033854.4599999995</v>
      </c>
      <c r="Q14" s="69">
        <f t="shared" si="7"/>
        <v>3145702.561092</v>
      </c>
      <c r="R14" s="69">
        <f t="shared" si="7"/>
        <v>3261531.0792355197</v>
      </c>
    </row>
    <row r="15" spans="1:18" s="51" customFormat="1" x14ac:dyDescent="0.25">
      <c r="A15" s="1"/>
      <c r="B15" s="17"/>
      <c r="C15" s="17"/>
      <c r="D15" s="17"/>
      <c r="E15" s="17"/>
      <c r="F15" s="17"/>
      <c r="G15" s="17"/>
      <c r="H15" s="17"/>
      <c r="I15" s="12"/>
      <c r="J15" s="97"/>
      <c r="K15" s="97"/>
      <c r="L15" s="97"/>
      <c r="M15" s="97"/>
      <c r="N15" s="97"/>
      <c r="O15" s="97"/>
      <c r="P15" s="97"/>
      <c r="Q15" s="97"/>
      <c r="R15" s="97"/>
    </row>
    <row r="16" spans="1:18" s="51" customFormat="1" x14ac:dyDescent="0.25">
      <c r="A16" s="1"/>
      <c r="B16" s="1" t="s">
        <v>10</v>
      </c>
      <c r="C16" s="11">
        <f>C11-C14</f>
        <v>517221</v>
      </c>
      <c r="D16" s="11">
        <f t="shared" ref="D16:H16" si="8">D11-D14</f>
        <v>560154</v>
      </c>
      <c r="E16" s="11">
        <f t="shared" si="8"/>
        <v>617056</v>
      </c>
      <c r="F16" s="11">
        <f t="shared" si="8"/>
        <v>749948</v>
      </c>
      <c r="G16" s="11">
        <f t="shared" si="8"/>
        <v>1420220</v>
      </c>
      <c r="H16" s="11">
        <f t="shared" si="8"/>
        <v>1860282</v>
      </c>
      <c r="I16" s="20">
        <f>I11*I17</f>
        <v>2256427</v>
      </c>
      <c r="J16" s="95">
        <f t="shared" ref="J16:R16" si="9">J11*J17</f>
        <v>2420899.9999999995</v>
      </c>
      <c r="K16" s="95">
        <f>K11*K17</f>
        <v>2622182</v>
      </c>
      <c r="L16" s="95">
        <f t="shared" si="9"/>
        <v>2959105</v>
      </c>
      <c r="M16" s="95">
        <f t="shared" si="9"/>
        <v>3225430.0000000005</v>
      </c>
      <c r="N16" s="95">
        <f t="shared" si="9"/>
        <v>3432688.4000000004</v>
      </c>
      <c r="O16" s="95">
        <f t="shared" si="9"/>
        <v>3584875.0350000001</v>
      </c>
      <c r="P16" s="95">
        <f t="shared" si="9"/>
        <v>3708044.3400000003</v>
      </c>
      <c r="Q16" s="95">
        <f t="shared" si="9"/>
        <v>3798453.2029080004</v>
      </c>
      <c r="R16" s="95">
        <f t="shared" si="9"/>
        <v>3890949.3576844805</v>
      </c>
    </row>
    <row r="17" spans="1:18" s="51" customFormat="1" x14ac:dyDescent="0.25">
      <c r="A17" s="1"/>
      <c r="B17" s="71" t="s">
        <v>11</v>
      </c>
      <c r="C17" s="72">
        <f t="shared" ref="C17:H17" si="10">C16/C11</f>
        <v>0.50533896491788577</v>
      </c>
      <c r="D17" s="72">
        <f t="shared" si="10"/>
        <v>0.51475043764731832</v>
      </c>
      <c r="E17" s="72">
        <f t="shared" si="10"/>
        <v>0.50142979847926972</v>
      </c>
      <c r="F17" s="72">
        <f t="shared" si="10"/>
        <v>0.54110715313889168</v>
      </c>
      <c r="G17" s="72">
        <f t="shared" si="10"/>
        <v>0.61390601603861994</v>
      </c>
      <c r="H17" s="72">
        <f t="shared" si="10"/>
        <v>0.52328828391680982</v>
      </c>
      <c r="I17" s="76">
        <v>0.56269999999999998</v>
      </c>
      <c r="J17" s="98">
        <v>0.56299999999999994</v>
      </c>
      <c r="K17" s="98">
        <v>0.56269999999999998</v>
      </c>
      <c r="L17" s="98">
        <v>0.5615</v>
      </c>
      <c r="M17" s="98">
        <v>0.55900000000000005</v>
      </c>
      <c r="N17" s="98">
        <f>M17-0.3%</f>
        <v>0.55600000000000005</v>
      </c>
      <c r="O17" s="98">
        <f t="shared" ref="O17:R17" si="11">N17-0.3%</f>
        <v>0.55300000000000005</v>
      </c>
      <c r="P17" s="98">
        <f t="shared" si="11"/>
        <v>0.55000000000000004</v>
      </c>
      <c r="Q17" s="98">
        <f t="shared" si="11"/>
        <v>0.54700000000000004</v>
      </c>
      <c r="R17" s="98">
        <f t="shared" si="11"/>
        <v>0.54400000000000004</v>
      </c>
    </row>
    <row r="18" spans="1:18" s="51" customFormat="1" x14ac:dyDescent="0.25">
      <c r="A18" s="1"/>
      <c r="B18" s="1"/>
      <c r="C18" s="11"/>
      <c r="D18" s="11"/>
      <c r="E18" s="11"/>
      <c r="F18" s="11"/>
      <c r="G18" s="11"/>
      <c r="H18" s="11"/>
      <c r="I18" s="20"/>
      <c r="J18" s="95"/>
      <c r="K18" s="95"/>
      <c r="L18" s="95"/>
      <c r="M18" s="95"/>
      <c r="N18" s="95"/>
      <c r="O18" s="95"/>
      <c r="P18" s="95"/>
      <c r="Q18" s="95"/>
      <c r="R18" s="95"/>
    </row>
    <row r="19" spans="1:18" s="51" customFormat="1" x14ac:dyDescent="0.25">
      <c r="A19" s="1"/>
      <c r="B19" s="1" t="s">
        <v>39</v>
      </c>
      <c r="C19" s="11">
        <f>'Raw IS'!H10</f>
        <v>494601</v>
      </c>
      <c r="D19" s="11">
        <f>'Raw IS'!I10</f>
        <v>495028</v>
      </c>
      <c r="E19" s="11">
        <f>'Raw IS'!J10</f>
        <v>488407</v>
      </c>
      <c r="F19" s="11">
        <f>'Raw IS'!B10</f>
        <v>514753</v>
      </c>
      <c r="G19" s="11">
        <f>'Raw IS'!C10</f>
        <v>737156</v>
      </c>
      <c r="H19" s="11">
        <f>'Raw IS'!D10</f>
        <v>1009526</v>
      </c>
      <c r="I19" s="20">
        <f>I20*I11</f>
        <v>1297852.1662275749</v>
      </c>
      <c r="J19" s="95">
        <f t="shared" ref="J19:R19" si="12">J20*J11</f>
        <v>1367695.2785886531</v>
      </c>
      <c r="K19" s="95">
        <f t="shared" si="12"/>
        <v>1470207.4777070065</v>
      </c>
      <c r="L19" s="95">
        <f t="shared" si="12"/>
        <v>1525307.5316455695</v>
      </c>
      <c r="M19" s="95">
        <f t="shared" si="12"/>
        <v>1640609.4871794877</v>
      </c>
      <c r="N19" s="95">
        <f t="shared" si="12"/>
        <v>1734865.9000000001</v>
      </c>
      <c r="O19" s="95">
        <f t="shared" si="12"/>
        <v>1802161.4100000006</v>
      </c>
      <c r="P19" s="95">
        <f t="shared" si="12"/>
        <v>1854022.1700000002</v>
      </c>
      <c r="Q19" s="95">
        <f t="shared" si="12"/>
        <v>1888810.3678080002</v>
      </c>
      <c r="R19" s="95">
        <f t="shared" si="12"/>
        <v>1924017.2375314801</v>
      </c>
    </row>
    <row r="20" spans="1:18" s="51" customFormat="1" x14ac:dyDescent="0.25">
      <c r="A20" s="1"/>
      <c r="B20" s="71" t="s">
        <v>16</v>
      </c>
      <c r="C20" s="72">
        <f t="shared" ref="C20:R20" si="13">C19/C11</f>
        <v>0.48323861055013467</v>
      </c>
      <c r="D20" s="72">
        <f t="shared" si="13"/>
        <v>0.45490325811772597</v>
      </c>
      <c r="E20" s="72">
        <f t="shared" si="13"/>
        <v>0.39688751683131629</v>
      </c>
      <c r="F20" s="72">
        <f t="shared" si="13"/>
        <v>0.37140779147314734</v>
      </c>
      <c r="G20" s="72">
        <f t="shared" si="13"/>
        <v>0.31864394471206214</v>
      </c>
      <c r="H20" s="72">
        <f t="shared" si="13"/>
        <v>0.283974756574219</v>
      </c>
      <c r="I20" s="73">
        <v>0.32365390678991895</v>
      </c>
      <c r="J20" s="74">
        <v>0.31806866943922163</v>
      </c>
      <c r="K20" s="74">
        <v>0.31549516688991558</v>
      </c>
      <c r="L20" s="74">
        <v>0.2894321691927077</v>
      </c>
      <c r="M20" s="74">
        <v>0.28433439985779685</v>
      </c>
      <c r="N20" s="74">
        <v>0.28100000000000003</v>
      </c>
      <c r="O20" s="74">
        <v>0.27800000000000008</v>
      </c>
      <c r="P20" s="74">
        <v>0.27500000000000002</v>
      </c>
      <c r="Q20" s="74">
        <v>0.27200000000000002</v>
      </c>
      <c r="R20" s="74">
        <v>0.26900000000000002</v>
      </c>
    </row>
    <row r="21" spans="1:18" s="51" customFormat="1" x14ac:dyDescent="0.25">
      <c r="A21" s="1"/>
      <c r="B21" s="13"/>
      <c r="C21" s="14"/>
      <c r="D21" s="14"/>
      <c r="E21" s="14"/>
      <c r="F21" s="14"/>
      <c r="G21" s="14"/>
      <c r="H21" s="14"/>
      <c r="I21" s="19"/>
      <c r="J21" s="67"/>
      <c r="K21" s="67"/>
      <c r="L21" s="67"/>
      <c r="M21" s="67"/>
      <c r="N21" s="67"/>
      <c r="O21" s="67"/>
      <c r="P21" s="67"/>
      <c r="Q21" s="67"/>
      <c r="R21" s="67"/>
    </row>
    <row r="22" spans="1:18" s="51" customFormat="1" x14ac:dyDescent="0.25">
      <c r="A22" s="1"/>
      <c r="B22" s="1" t="s">
        <v>55</v>
      </c>
      <c r="C22" s="11">
        <f>'Raw IS'!H11</f>
        <v>5284</v>
      </c>
      <c r="D22" s="11">
        <f>'Raw IS'!I11</f>
        <v>2182</v>
      </c>
      <c r="E22" s="11">
        <f>'Raw IS'!J11</f>
        <v>0</v>
      </c>
      <c r="F22" s="11">
        <f>'Raw IS'!B11</f>
        <v>21071</v>
      </c>
      <c r="G22" s="11">
        <f>'Raw IS'!C11</f>
        <v>0</v>
      </c>
      <c r="H22" s="11">
        <f>'Raw IS'!D11</f>
        <v>0</v>
      </c>
      <c r="I22" s="38">
        <v>0</v>
      </c>
      <c r="J22" s="99">
        <v>0</v>
      </c>
      <c r="K22" s="99">
        <v>0</v>
      </c>
      <c r="L22" s="99">
        <v>0</v>
      </c>
      <c r="M22" s="99">
        <v>0</v>
      </c>
      <c r="N22" s="99">
        <v>0</v>
      </c>
      <c r="O22" s="99">
        <v>0</v>
      </c>
      <c r="P22" s="99">
        <v>0</v>
      </c>
      <c r="Q22" s="99">
        <v>0</v>
      </c>
      <c r="R22" s="99">
        <v>0</v>
      </c>
    </row>
    <row r="23" spans="1:18" s="51" customFormat="1" x14ac:dyDescent="0.25">
      <c r="A23" s="1"/>
      <c r="B23" s="13" t="s">
        <v>16</v>
      </c>
      <c r="C23" s="14">
        <f>C22/C11</f>
        <v>5.1626115154375174E-3</v>
      </c>
      <c r="D23" s="14">
        <f t="shared" ref="D23:R23" si="14">D22/D11</f>
        <v>2.0051368997569393E-3</v>
      </c>
      <c r="E23" s="14">
        <f t="shared" si="14"/>
        <v>0</v>
      </c>
      <c r="F23" s="14">
        <f t="shared" si="14"/>
        <v>1.5203279192410121E-2</v>
      </c>
      <c r="G23" s="14">
        <f t="shared" si="14"/>
        <v>0</v>
      </c>
      <c r="H23" s="14">
        <f t="shared" si="14"/>
        <v>0</v>
      </c>
      <c r="I23" s="19">
        <f t="shared" si="14"/>
        <v>0</v>
      </c>
      <c r="J23" s="67">
        <f t="shared" si="14"/>
        <v>0</v>
      </c>
      <c r="K23" s="67">
        <f t="shared" si="14"/>
        <v>0</v>
      </c>
      <c r="L23" s="67">
        <f t="shared" si="14"/>
        <v>0</v>
      </c>
      <c r="M23" s="67">
        <f t="shared" si="14"/>
        <v>0</v>
      </c>
      <c r="N23" s="67">
        <f t="shared" si="14"/>
        <v>0</v>
      </c>
      <c r="O23" s="67">
        <f t="shared" si="14"/>
        <v>0</v>
      </c>
      <c r="P23" s="67">
        <f t="shared" si="14"/>
        <v>0</v>
      </c>
      <c r="Q23" s="67">
        <f t="shared" si="14"/>
        <v>0</v>
      </c>
      <c r="R23" s="67">
        <f t="shared" si="14"/>
        <v>0</v>
      </c>
    </row>
    <row r="24" spans="1:18" s="51" customFormat="1" x14ac:dyDescent="0.25">
      <c r="A24" s="1"/>
      <c r="B24" s="1"/>
      <c r="C24" s="11"/>
      <c r="D24" s="11"/>
      <c r="E24" s="11"/>
      <c r="F24" s="11"/>
      <c r="G24" s="11"/>
      <c r="H24" s="11"/>
      <c r="I24" s="38"/>
      <c r="J24" s="99"/>
      <c r="K24" s="99"/>
      <c r="L24" s="99"/>
      <c r="M24" s="99"/>
      <c r="N24" s="99"/>
      <c r="O24" s="99"/>
      <c r="P24" s="99"/>
      <c r="Q24" s="99"/>
      <c r="R24" s="99"/>
    </row>
    <row r="25" spans="1:18" s="51" customFormat="1" x14ac:dyDescent="0.25">
      <c r="A25" s="1"/>
      <c r="B25" s="1" t="s">
        <v>12</v>
      </c>
      <c r="C25" s="11">
        <f>C19+C22</f>
        <v>499885</v>
      </c>
      <c r="D25" s="11">
        <f t="shared" ref="D25:R25" si="15">D19+D22</f>
        <v>497210</v>
      </c>
      <c r="E25" s="11">
        <f t="shared" si="15"/>
        <v>488407</v>
      </c>
      <c r="F25" s="11">
        <f t="shared" si="15"/>
        <v>535824</v>
      </c>
      <c r="G25" s="11">
        <f t="shared" si="15"/>
        <v>737156</v>
      </c>
      <c r="H25" s="11">
        <f t="shared" si="15"/>
        <v>1009526</v>
      </c>
      <c r="I25" s="38">
        <f t="shared" si="15"/>
        <v>1297852.1662275749</v>
      </c>
      <c r="J25" s="99">
        <f t="shared" si="15"/>
        <v>1367695.2785886531</v>
      </c>
      <c r="K25" s="99">
        <f t="shared" si="15"/>
        <v>1470207.4777070065</v>
      </c>
      <c r="L25" s="99">
        <f t="shared" si="15"/>
        <v>1525307.5316455695</v>
      </c>
      <c r="M25" s="99">
        <f t="shared" si="15"/>
        <v>1640609.4871794877</v>
      </c>
      <c r="N25" s="99">
        <f t="shared" si="15"/>
        <v>1734865.9000000001</v>
      </c>
      <c r="O25" s="99">
        <f t="shared" si="15"/>
        <v>1802161.4100000006</v>
      </c>
      <c r="P25" s="99">
        <f t="shared" si="15"/>
        <v>1854022.1700000002</v>
      </c>
      <c r="Q25" s="99">
        <f t="shared" si="15"/>
        <v>1888810.3678080002</v>
      </c>
      <c r="R25" s="99">
        <f t="shared" si="15"/>
        <v>1924017.2375314801</v>
      </c>
    </row>
    <row r="26" spans="1:18" s="51" customFormat="1" x14ac:dyDescent="0.25">
      <c r="A26" s="1"/>
      <c r="B26" s="1"/>
      <c r="C26" s="14"/>
      <c r="D26" s="14"/>
      <c r="E26" s="14"/>
      <c r="F26" s="14"/>
      <c r="G26" s="14"/>
      <c r="H26" s="14"/>
      <c r="I26" s="19"/>
      <c r="J26" s="67"/>
      <c r="K26" s="67"/>
      <c r="L26" s="67"/>
      <c r="M26" s="67"/>
      <c r="N26" s="67"/>
      <c r="O26" s="67"/>
      <c r="P26" s="67"/>
      <c r="Q26" s="67"/>
      <c r="R26" s="67"/>
    </row>
    <row r="27" spans="1:18" s="51" customFormat="1" x14ac:dyDescent="0.25">
      <c r="A27" s="1"/>
      <c r="B27" s="1" t="s">
        <v>13</v>
      </c>
      <c r="C27" s="11">
        <f>C16-C25</f>
        <v>17336</v>
      </c>
      <c r="D27" s="11">
        <f>D16-D25</f>
        <v>62944</v>
      </c>
      <c r="E27" s="11">
        <f>E16-E25</f>
        <v>128649</v>
      </c>
      <c r="F27" s="11">
        <f>F16-F25</f>
        <v>214124</v>
      </c>
      <c r="G27" s="11">
        <f>G16-G25</f>
        <v>683064</v>
      </c>
      <c r="H27" s="11">
        <f>H16-H25</f>
        <v>850756</v>
      </c>
      <c r="I27" s="38">
        <f>I16-I25</f>
        <v>958574.83377242507</v>
      </c>
      <c r="J27" s="99">
        <f>J16-J25</f>
        <v>1053204.7214113465</v>
      </c>
      <c r="K27" s="99">
        <f>K16-K25</f>
        <v>1151974.5222929935</v>
      </c>
      <c r="L27" s="99">
        <f>L16-L25</f>
        <v>1433797.4683544305</v>
      </c>
      <c r="M27" s="99">
        <f>M16-M25</f>
        <v>1584820.5128205128</v>
      </c>
      <c r="N27" s="99">
        <f>N16-N25</f>
        <v>1697822.5000000002</v>
      </c>
      <c r="O27" s="99">
        <f>O16-O25</f>
        <v>1782713.6249999995</v>
      </c>
      <c r="P27" s="99">
        <f>P16-P25</f>
        <v>1854022.1700000002</v>
      </c>
      <c r="Q27" s="99">
        <f>Q16-Q25</f>
        <v>1909642.8351000003</v>
      </c>
      <c r="R27" s="99">
        <f>R16-R25</f>
        <v>1966932.1201530003</v>
      </c>
    </row>
    <row r="28" spans="1:18" s="51" customFormat="1" x14ac:dyDescent="0.25">
      <c r="A28" s="1"/>
      <c r="B28" s="1" t="s">
        <v>53</v>
      </c>
      <c r="C28" s="81">
        <f>'Raw IS'!H16+'Raw IS'!H15+'Raw IS'!H14+'Raw IS'!H13</f>
        <v>844</v>
      </c>
      <c r="D28" s="81">
        <f>'Raw IS'!I16+'Raw IS'!I15+'Raw IS'!I14+'Raw IS'!I13</f>
        <v>2213</v>
      </c>
      <c r="E28" s="81">
        <f>'Raw IS'!J16+'Raw IS'!J15+'Raw IS'!J14+'Raw IS'!J13</f>
        <v>-9327</v>
      </c>
      <c r="F28" s="81">
        <f>SUM('Raw IS'!B13:B16)</f>
        <v>-7145</v>
      </c>
      <c r="G28" s="81">
        <f>SUM('Raw IS'!C13:C16)</f>
        <v>-19215</v>
      </c>
      <c r="H28" s="81">
        <f>SUM('Raw IS'!D13:D16)</f>
        <v>-132248</v>
      </c>
      <c r="I28" s="20">
        <f>I29*I11</f>
        <v>-40100</v>
      </c>
      <c r="J28" s="95">
        <f>J29*J11</f>
        <v>-43000</v>
      </c>
      <c r="K28" s="95">
        <f>K29*K11</f>
        <v>-46600</v>
      </c>
      <c r="L28" s="95">
        <f>L29*L11</f>
        <v>-52700</v>
      </c>
      <c r="M28" s="95">
        <f>M29*M11</f>
        <v>-46160</v>
      </c>
      <c r="N28" s="95">
        <f>N29*N11</f>
        <v>-49391.200000000004</v>
      </c>
      <c r="O28" s="95">
        <f>O29*O11</f>
        <v>-51860.76</v>
      </c>
      <c r="P28" s="95">
        <f>P29*P11</f>
        <v>-53935.190399999999</v>
      </c>
      <c r="Q28" s="95">
        <f>Q29*Q11</f>
        <v>-55553.246112000008</v>
      </c>
      <c r="R28" s="95">
        <f>R29*R11</f>
        <v>-57219.843495360001</v>
      </c>
    </row>
    <row r="29" spans="1:18" s="51" customFormat="1" x14ac:dyDescent="0.25">
      <c r="A29" s="1"/>
      <c r="B29" s="71" t="s">
        <v>16</v>
      </c>
      <c r="C29" s="72">
        <f>C28/C11</f>
        <v>8.2461092335905841E-4</v>
      </c>
      <c r="D29" s="72">
        <f>D28/D11</f>
        <v>2.0336241792676931E-3</v>
      </c>
      <c r="E29" s="72">
        <f>E28/E11</f>
        <v>-7.5792727571179098E-3</v>
      </c>
      <c r="F29" s="72">
        <f>F28/F11</f>
        <v>-5.1553049133771685E-3</v>
      </c>
      <c r="G29" s="72">
        <f>G28/G11</f>
        <v>-8.3058991551886903E-3</v>
      </c>
      <c r="H29" s="72">
        <f>H28/H11</f>
        <v>-3.7200719552965764E-2</v>
      </c>
      <c r="I29" s="76">
        <v>-0.01</v>
      </c>
      <c r="J29" s="98">
        <v>-0.01</v>
      </c>
      <c r="K29" s="98">
        <v>-0.01</v>
      </c>
      <c r="L29" s="98">
        <v>-0.01</v>
      </c>
      <c r="M29" s="98">
        <v>-8.0000000000000002E-3</v>
      </c>
      <c r="N29" s="98">
        <v>-8.0000000000000002E-3</v>
      </c>
      <c r="O29" s="98">
        <v>-8.0000000000000002E-3</v>
      </c>
      <c r="P29" s="98">
        <v>-8.0000000000000002E-3</v>
      </c>
      <c r="Q29" s="98">
        <v>-8.0000000000000002E-3</v>
      </c>
      <c r="R29" s="98">
        <v>-8.0000000000000002E-3</v>
      </c>
    </row>
    <row r="30" spans="1:18" s="51" customFormat="1" x14ac:dyDescent="0.25">
      <c r="A30" s="1"/>
      <c r="B30" s="1"/>
      <c r="C30" s="65"/>
      <c r="D30" s="65"/>
      <c r="E30" s="65"/>
      <c r="F30" s="65"/>
      <c r="G30" s="65"/>
      <c r="H30" s="65"/>
      <c r="I30" s="12"/>
      <c r="J30" s="97"/>
      <c r="K30" s="97"/>
      <c r="L30" s="97"/>
      <c r="M30" s="97"/>
      <c r="N30" s="97"/>
      <c r="O30" s="97"/>
      <c r="P30" s="97"/>
      <c r="Q30" s="97"/>
      <c r="R30" s="97"/>
    </row>
    <row r="31" spans="1:18" s="51" customFormat="1" x14ac:dyDescent="0.25">
      <c r="A31" s="1"/>
      <c r="B31" s="1" t="s">
        <v>14</v>
      </c>
      <c r="C31" s="11">
        <f>C27+C28</f>
        <v>18180</v>
      </c>
      <c r="D31" s="11">
        <f t="shared" ref="D31:R31" si="16">D27+D28</f>
        <v>65157</v>
      </c>
      <c r="E31" s="11">
        <f t="shared" si="16"/>
        <v>119322</v>
      </c>
      <c r="F31" s="11">
        <f t="shared" si="16"/>
        <v>206979</v>
      </c>
      <c r="G31" s="11">
        <f t="shared" si="16"/>
        <v>663849</v>
      </c>
      <c r="H31" s="11">
        <f>H27+H28</f>
        <v>718508</v>
      </c>
      <c r="I31" s="38">
        <f t="shared" si="16"/>
        <v>918474.83377242507</v>
      </c>
      <c r="J31" s="99">
        <f t="shared" si="16"/>
        <v>1010204.7214113465</v>
      </c>
      <c r="K31" s="99">
        <f t="shared" si="16"/>
        <v>1105374.5222929935</v>
      </c>
      <c r="L31" s="99">
        <f t="shared" si="16"/>
        <v>1381097.4683544305</v>
      </c>
      <c r="M31" s="99">
        <f t="shared" si="16"/>
        <v>1538660.5128205128</v>
      </c>
      <c r="N31" s="99">
        <f t="shared" si="16"/>
        <v>1648431.3000000003</v>
      </c>
      <c r="O31" s="99">
        <f t="shared" si="16"/>
        <v>1730852.8649999995</v>
      </c>
      <c r="P31" s="99">
        <f t="shared" si="16"/>
        <v>1800086.9796000002</v>
      </c>
      <c r="Q31" s="99">
        <f t="shared" si="16"/>
        <v>1854089.5889880003</v>
      </c>
      <c r="R31" s="99">
        <f t="shared" si="16"/>
        <v>1909712.2766576402</v>
      </c>
    </row>
    <row r="32" spans="1:18" s="51" customFormat="1" x14ac:dyDescent="0.25">
      <c r="A32" s="1"/>
      <c r="B32" s="1"/>
      <c r="C32" s="21"/>
      <c r="D32" s="21"/>
      <c r="E32" s="21"/>
      <c r="F32" s="21"/>
      <c r="G32" s="21"/>
      <c r="H32" s="65"/>
      <c r="I32" s="12"/>
      <c r="J32" s="97"/>
      <c r="K32" s="97"/>
      <c r="L32" s="97"/>
      <c r="M32" s="97"/>
      <c r="N32" s="97"/>
      <c r="O32" s="97"/>
      <c r="P32" s="97"/>
      <c r="Q32" s="97"/>
      <c r="R32" s="97"/>
    </row>
    <row r="33" spans="1:86" s="51" customFormat="1" x14ac:dyDescent="0.25">
      <c r="A33" s="1"/>
      <c r="B33" s="1" t="s">
        <v>15</v>
      </c>
      <c r="C33" s="11">
        <f>C27</f>
        <v>17336</v>
      </c>
      <c r="D33" s="11">
        <f t="shared" ref="D33:R33" si="17">D27</f>
        <v>62944</v>
      </c>
      <c r="E33" s="11">
        <f t="shared" si="17"/>
        <v>128649</v>
      </c>
      <c r="F33" s="11">
        <f t="shared" si="17"/>
        <v>214124</v>
      </c>
      <c r="G33" s="11">
        <f t="shared" si="17"/>
        <v>683064</v>
      </c>
      <c r="H33" s="11">
        <f t="shared" si="17"/>
        <v>850756</v>
      </c>
      <c r="I33" s="38">
        <f t="shared" si="17"/>
        <v>958574.83377242507</v>
      </c>
      <c r="J33" s="99">
        <f t="shared" si="17"/>
        <v>1053204.7214113465</v>
      </c>
      <c r="K33" s="99">
        <f t="shared" si="17"/>
        <v>1151974.5222929935</v>
      </c>
      <c r="L33" s="99">
        <f t="shared" si="17"/>
        <v>1433797.4683544305</v>
      </c>
      <c r="M33" s="99">
        <f t="shared" si="17"/>
        <v>1584820.5128205128</v>
      </c>
      <c r="N33" s="99">
        <f t="shared" si="17"/>
        <v>1697822.5000000002</v>
      </c>
      <c r="O33" s="99">
        <f t="shared" si="17"/>
        <v>1782713.6249999995</v>
      </c>
      <c r="P33" s="99">
        <f t="shared" si="17"/>
        <v>1854022.1700000002</v>
      </c>
      <c r="Q33" s="99">
        <f t="shared" si="17"/>
        <v>1909642.8351000003</v>
      </c>
      <c r="R33" s="99">
        <f t="shared" si="17"/>
        <v>1966932.1201530003</v>
      </c>
    </row>
    <row r="34" spans="1:86" s="51" customFormat="1" x14ac:dyDescent="0.25">
      <c r="A34" s="1"/>
      <c r="B34" s="71" t="s">
        <v>16</v>
      </c>
      <c r="C34" s="72">
        <f>C33/C11</f>
        <v>1.6937742852313552E-2</v>
      </c>
      <c r="D34" s="72">
        <f>D33/D11</f>
        <v>5.7842042629835368E-2</v>
      </c>
      <c r="E34" s="72">
        <f>E33/E11</f>
        <v>0.10454228164795347</v>
      </c>
      <c r="F34" s="72">
        <f>F33/F11</f>
        <v>0.15449608247333418</v>
      </c>
      <c r="G34" s="72">
        <f>G33/G11</f>
        <v>0.2952620713265578</v>
      </c>
      <c r="H34" s="72">
        <f>H33/H11</f>
        <v>0.23931352734259076</v>
      </c>
      <c r="I34" s="73">
        <v>0.23904609321008102</v>
      </c>
      <c r="J34" s="74">
        <v>0.24493133056077826</v>
      </c>
      <c r="K34" s="74">
        <v>0.24720483311008445</v>
      </c>
      <c r="L34" s="74">
        <v>0.2720678308072923</v>
      </c>
      <c r="M34" s="74">
        <v>0.27466560014220326</v>
      </c>
      <c r="N34" s="74">
        <v>0.27500000000000002</v>
      </c>
      <c r="O34" s="74">
        <v>0.27500000000000002</v>
      </c>
      <c r="P34" s="74">
        <v>0.27500000000000002</v>
      </c>
      <c r="Q34" s="74">
        <v>0.27500000000000002</v>
      </c>
      <c r="R34" s="74">
        <v>0.27500000000000002</v>
      </c>
    </row>
    <row r="35" spans="1:86" s="51" customFormat="1" x14ac:dyDescent="0.25">
      <c r="A35" s="1"/>
      <c r="B35" s="13"/>
      <c r="C35" s="1"/>
      <c r="D35" s="1"/>
      <c r="E35" s="2"/>
      <c r="F35" s="1"/>
      <c r="G35" s="1"/>
      <c r="H35" s="1"/>
      <c r="I35" s="12"/>
      <c r="J35" s="97"/>
      <c r="K35" s="97"/>
      <c r="L35" s="97"/>
      <c r="M35" s="97"/>
      <c r="N35" s="97"/>
      <c r="O35" s="97"/>
      <c r="P35" s="97"/>
      <c r="Q35" s="97"/>
      <c r="R35" s="97"/>
    </row>
    <row r="36" spans="1:86" s="51" customFormat="1" x14ac:dyDescent="0.25">
      <c r="A36" s="1"/>
      <c r="B36" s="1" t="s">
        <v>17</v>
      </c>
      <c r="C36" s="11">
        <f>'Raw IS'!H18</f>
        <v>7942</v>
      </c>
      <c r="D36" s="11">
        <f>'Raw IS'!I18</f>
        <v>14720</v>
      </c>
      <c r="E36" s="11">
        <f>'Raw IS'!J18</f>
        <v>-175</v>
      </c>
      <c r="F36" s="11">
        <f>'Raw IS'!B18</f>
        <v>-105882</v>
      </c>
      <c r="G36" s="11">
        <f>'Raw IS'!C18</f>
        <v>-61845</v>
      </c>
      <c r="H36" s="11">
        <f>'Raw IS'!D18</f>
        <v>178349</v>
      </c>
      <c r="I36" s="20">
        <f>I33*I37</f>
        <v>194494.83377242505</v>
      </c>
      <c r="J36" s="95">
        <f t="shared" ref="J36:R36" si="18">J33*J37</f>
        <v>223384.7214113466</v>
      </c>
      <c r="K36" s="95">
        <f t="shared" si="18"/>
        <v>247674.52229299358</v>
      </c>
      <c r="L36" s="95">
        <f t="shared" si="18"/>
        <v>301097.4683544304</v>
      </c>
      <c r="M36" s="95">
        <f t="shared" si="18"/>
        <v>348660.51282051281</v>
      </c>
      <c r="N36" s="95">
        <f t="shared" si="18"/>
        <v>373520.95000000007</v>
      </c>
      <c r="O36" s="95">
        <f t="shared" si="18"/>
        <v>392196.99749999988</v>
      </c>
      <c r="P36" s="95">
        <f t="shared" si="18"/>
        <v>407884.87740000006</v>
      </c>
      <c r="Q36" s="95">
        <f t="shared" si="18"/>
        <v>420121.42372200004</v>
      </c>
      <c r="R36" s="95">
        <f t="shared" si="18"/>
        <v>432725.0664336601</v>
      </c>
    </row>
    <row r="37" spans="1:86" s="51" customFormat="1" x14ac:dyDescent="0.25">
      <c r="A37" s="1"/>
      <c r="B37" s="71" t="s">
        <v>18</v>
      </c>
      <c r="C37" s="75">
        <f>C36/C33</f>
        <v>0.45812182741116753</v>
      </c>
      <c r="D37" s="75">
        <f t="shared" ref="D37:H37" si="19">D36/D33</f>
        <v>0.2338586680223691</v>
      </c>
      <c r="E37" s="75">
        <f t="shared" si="19"/>
        <v>-1.3602904025682282E-3</v>
      </c>
      <c r="F37" s="75">
        <f t="shared" si="19"/>
        <v>-0.4944891744970204</v>
      </c>
      <c r="G37" s="75">
        <f t="shared" si="19"/>
        <v>-9.0540564280945854E-2</v>
      </c>
      <c r="H37" s="75">
        <f t="shared" si="19"/>
        <v>0.20963590030514037</v>
      </c>
      <c r="I37" s="76">
        <v>0.2029</v>
      </c>
      <c r="J37" s="98">
        <v>0.21210000000000001</v>
      </c>
      <c r="K37" s="98">
        <v>0.215</v>
      </c>
      <c r="L37" s="98">
        <v>0.21</v>
      </c>
      <c r="M37" s="98">
        <v>0.22</v>
      </c>
      <c r="N37" s="98">
        <v>0.22</v>
      </c>
      <c r="O37" s="98">
        <v>0.22</v>
      </c>
      <c r="P37" s="98">
        <v>0.22</v>
      </c>
      <c r="Q37" s="98">
        <v>0.22</v>
      </c>
      <c r="R37" s="98">
        <v>0.22</v>
      </c>
    </row>
    <row r="38" spans="1:86" s="51" customFormat="1" x14ac:dyDescent="0.25">
      <c r="A38" s="1"/>
      <c r="B38" s="1"/>
      <c r="C38" s="1"/>
      <c r="D38" s="1"/>
      <c r="E38" s="1"/>
      <c r="F38" s="1"/>
      <c r="G38" s="1"/>
      <c r="H38" s="1"/>
      <c r="I38" s="12"/>
      <c r="J38" s="97"/>
      <c r="K38" s="97"/>
      <c r="L38" s="97"/>
      <c r="M38" s="97"/>
      <c r="N38" s="97"/>
      <c r="O38" s="97"/>
      <c r="P38" s="97"/>
      <c r="Q38" s="97"/>
      <c r="R38" s="97"/>
    </row>
    <row r="39" spans="1:86" s="51" customFormat="1" x14ac:dyDescent="0.25">
      <c r="A39" s="1"/>
      <c r="B39" s="9" t="s">
        <v>19</v>
      </c>
      <c r="C39" s="9">
        <v>2017</v>
      </c>
      <c r="D39" s="9">
        <v>2018</v>
      </c>
      <c r="E39" s="10">
        <v>2019</v>
      </c>
      <c r="F39" s="9">
        <v>2020</v>
      </c>
      <c r="G39" s="9">
        <v>2021</v>
      </c>
      <c r="H39" s="9">
        <v>2022</v>
      </c>
      <c r="I39" s="64">
        <v>2023</v>
      </c>
      <c r="J39" s="100">
        <v>2024</v>
      </c>
      <c r="K39" s="100">
        <v>2025</v>
      </c>
      <c r="L39" s="100">
        <v>2026</v>
      </c>
      <c r="M39" s="100">
        <v>2027</v>
      </c>
      <c r="N39" s="100">
        <v>2028</v>
      </c>
      <c r="O39" s="100">
        <v>2029</v>
      </c>
      <c r="P39" s="100">
        <v>2030</v>
      </c>
      <c r="Q39" s="100">
        <v>2031</v>
      </c>
      <c r="R39" s="100">
        <v>2032</v>
      </c>
      <c r="S39" s="9">
        <v>2033</v>
      </c>
      <c r="T39" s="9">
        <v>2034</v>
      </c>
      <c r="U39" s="9">
        <v>2035</v>
      </c>
      <c r="V39" s="9">
        <v>2036</v>
      </c>
      <c r="W39" s="9">
        <v>2037</v>
      </c>
      <c r="X39" s="9">
        <v>2038</v>
      </c>
      <c r="Y39" s="9">
        <v>2039</v>
      </c>
      <c r="Z39" s="9">
        <v>2040</v>
      </c>
      <c r="AA39" s="9">
        <v>2041</v>
      </c>
      <c r="AB39" s="9">
        <v>2042</v>
      </c>
      <c r="AC39" s="9">
        <v>2043</v>
      </c>
      <c r="AD39" s="9">
        <v>2044</v>
      </c>
      <c r="AE39" s="9">
        <v>2045</v>
      </c>
      <c r="AF39" s="9">
        <v>2046</v>
      </c>
      <c r="AG39" s="9">
        <v>2047</v>
      </c>
      <c r="AH39" s="9">
        <v>2048</v>
      </c>
      <c r="AI39" s="9">
        <v>2049</v>
      </c>
      <c r="AJ39" s="9">
        <v>2050</v>
      </c>
      <c r="AK39" s="9">
        <v>2051</v>
      </c>
      <c r="AL39" s="9">
        <v>2052</v>
      </c>
      <c r="AM39" s="9">
        <v>2053</v>
      </c>
      <c r="AN39" s="9">
        <v>2054</v>
      </c>
      <c r="AO39" s="9">
        <v>2055</v>
      </c>
      <c r="AP39" s="9">
        <v>2056</v>
      </c>
      <c r="AQ39" s="9">
        <v>2057</v>
      </c>
      <c r="AR39" s="9">
        <v>2058</v>
      </c>
      <c r="AS39" s="9">
        <v>2059</v>
      </c>
      <c r="AT39" s="9">
        <v>2060</v>
      </c>
      <c r="AU39" s="9">
        <v>2061</v>
      </c>
      <c r="AV39" s="9">
        <v>2062</v>
      </c>
      <c r="AW39" s="9">
        <v>2063</v>
      </c>
      <c r="AX39" s="9">
        <v>2064</v>
      </c>
      <c r="AY39" s="9">
        <v>2065</v>
      </c>
      <c r="AZ39" s="9">
        <v>2066</v>
      </c>
      <c r="BA39" s="9">
        <v>2067</v>
      </c>
      <c r="BB39" s="9">
        <v>2068</v>
      </c>
      <c r="BC39" s="9">
        <v>2069</v>
      </c>
      <c r="BD39" s="9">
        <v>2070</v>
      </c>
      <c r="BE39" s="9">
        <v>2071</v>
      </c>
      <c r="BF39" s="9">
        <v>2072</v>
      </c>
      <c r="BG39" s="9">
        <v>2073</v>
      </c>
      <c r="BH39" s="9">
        <v>2074</v>
      </c>
      <c r="BI39" s="9">
        <v>2075</v>
      </c>
      <c r="BJ39" s="9">
        <v>2076</v>
      </c>
      <c r="BK39" s="9">
        <v>2077</v>
      </c>
      <c r="BL39" s="9">
        <v>2078</v>
      </c>
      <c r="BM39" s="9">
        <v>2079</v>
      </c>
      <c r="BN39" s="9">
        <v>2080</v>
      </c>
      <c r="BO39" s="9">
        <v>2081</v>
      </c>
      <c r="BP39" s="9">
        <v>2082</v>
      </c>
      <c r="BQ39" s="9">
        <v>2083</v>
      </c>
      <c r="BR39" s="9">
        <v>2084</v>
      </c>
      <c r="BS39" s="9">
        <v>2085</v>
      </c>
      <c r="BT39" s="9">
        <v>2086</v>
      </c>
      <c r="BU39" s="9">
        <v>2087</v>
      </c>
      <c r="BV39" s="9">
        <v>2088</v>
      </c>
      <c r="BW39" s="9">
        <v>2089</v>
      </c>
      <c r="BX39" s="9">
        <v>2090</v>
      </c>
      <c r="BY39" s="9">
        <v>2091</v>
      </c>
      <c r="BZ39" s="9">
        <v>2092</v>
      </c>
      <c r="CA39" s="9">
        <v>2093</v>
      </c>
      <c r="CB39" s="9">
        <v>2094</v>
      </c>
      <c r="CC39" s="9">
        <v>2095</v>
      </c>
      <c r="CD39" s="9">
        <v>2096</v>
      </c>
      <c r="CE39" s="9">
        <v>2097</v>
      </c>
      <c r="CF39" s="9">
        <v>2098</v>
      </c>
      <c r="CG39" s="9">
        <v>2099</v>
      </c>
      <c r="CH39" s="9">
        <v>2100</v>
      </c>
    </row>
    <row r="40" spans="1:86" s="51" customFormat="1" x14ac:dyDescent="0.25">
      <c r="A40" s="1"/>
      <c r="B40" s="1" t="s">
        <v>20</v>
      </c>
      <c r="C40" s="11">
        <f>'Raw CF'!G11</f>
        <v>33130</v>
      </c>
      <c r="D40" s="11">
        <f>'Raw CF'!H11</f>
        <v>29250</v>
      </c>
      <c r="E40" s="11">
        <f>'Raw CF'!I11</f>
        <v>24213</v>
      </c>
      <c r="F40" s="11">
        <f>'Raw CF'!B10</f>
        <v>27619</v>
      </c>
      <c r="G40" s="11">
        <f>'Raw CF'!C10</f>
        <v>31976</v>
      </c>
      <c r="H40" s="11">
        <f>'Raw CF'!D10</f>
        <v>39229</v>
      </c>
      <c r="I40" s="20">
        <v>55950</v>
      </c>
      <c r="J40" s="95">
        <v>69830</v>
      </c>
      <c r="K40" s="95">
        <v>81190</v>
      </c>
      <c r="L40" s="95">
        <f>L41*L11</f>
        <v>89590</v>
      </c>
      <c r="M40" s="95">
        <f t="shared" ref="M40:R40" si="20">M41*M11</f>
        <v>98090</v>
      </c>
      <c r="N40" s="95">
        <f t="shared" si="20"/>
        <v>104956.3</v>
      </c>
      <c r="O40" s="95">
        <f t="shared" si="20"/>
        <v>110204.11500000001</v>
      </c>
      <c r="P40" s="95">
        <f t="shared" si="20"/>
        <v>114612.27960000001</v>
      </c>
      <c r="Q40" s="95">
        <f t="shared" si="20"/>
        <v>118050.64798800001</v>
      </c>
      <c r="R40" s="95">
        <f t="shared" si="20"/>
        <v>121592.16742764002</v>
      </c>
    </row>
    <row r="41" spans="1:86" s="51" customFormat="1" x14ac:dyDescent="0.25">
      <c r="A41" s="1"/>
      <c r="B41" s="71" t="s">
        <v>16</v>
      </c>
      <c r="C41" s="72">
        <f>C40/C11</f>
        <v>3.2368909823324181E-2</v>
      </c>
      <c r="D41" s="72">
        <f>D40/D11</f>
        <v>2.6879126635146869E-2</v>
      </c>
      <c r="E41" s="72">
        <f>E40/E11</f>
        <v>1.9675879840044597E-2</v>
      </c>
      <c r="F41" s="72">
        <f>F40/F11</f>
        <v>1.9927832946475019E-2</v>
      </c>
      <c r="G41" s="72">
        <f>G40/G11</f>
        <v>1.3821984459344969E-2</v>
      </c>
      <c r="H41" s="72">
        <f>H40/H11</f>
        <v>1.1034927010943787E-2</v>
      </c>
      <c r="I41" s="73">
        <f>I40/I11</f>
        <v>1.3952618453865336E-2</v>
      </c>
      <c r="J41" s="74">
        <f>J40/J11</f>
        <v>1.623953488372093E-2</v>
      </c>
      <c r="K41" s="74">
        <f>K40/K11</f>
        <v>1.742274678111588E-2</v>
      </c>
      <c r="L41" s="74">
        <v>1.7000000000000001E-2</v>
      </c>
      <c r="M41" s="74">
        <v>1.7000000000000001E-2</v>
      </c>
      <c r="N41" s="74">
        <v>1.7000000000000001E-2</v>
      </c>
      <c r="O41" s="74">
        <v>1.7000000000000001E-2</v>
      </c>
      <c r="P41" s="74">
        <v>1.7000000000000001E-2</v>
      </c>
      <c r="Q41" s="74">
        <v>1.7000000000000001E-2</v>
      </c>
      <c r="R41" s="74">
        <v>1.7000000000000001E-2</v>
      </c>
    </row>
    <row r="42" spans="1:86" s="51" customFormat="1" x14ac:dyDescent="0.25">
      <c r="A42" s="1"/>
      <c r="B42" s="1"/>
      <c r="C42" s="1"/>
      <c r="D42" s="1"/>
      <c r="E42" s="2"/>
      <c r="F42" s="1"/>
      <c r="G42" s="1"/>
      <c r="H42" s="1"/>
      <c r="I42" s="12"/>
      <c r="J42" s="97"/>
      <c r="K42" s="97"/>
      <c r="L42" s="97"/>
      <c r="M42" s="97"/>
      <c r="N42" s="97"/>
      <c r="O42" s="97"/>
      <c r="P42" s="97"/>
      <c r="Q42" s="97"/>
      <c r="R42" s="97"/>
    </row>
    <row r="43" spans="1:86" s="51" customFormat="1" x14ac:dyDescent="0.25">
      <c r="A43" s="1"/>
      <c r="B43" s="1" t="s">
        <v>21</v>
      </c>
      <c r="C43" s="11">
        <f>'Raw CF'!G30</f>
        <v>-13117</v>
      </c>
      <c r="D43" s="11">
        <f>'Raw CF'!H30</f>
        <v>-11979</v>
      </c>
      <c r="E43" s="11">
        <f>'Raw CF'!I30</f>
        <v>-36576</v>
      </c>
      <c r="F43" s="37">
        <f>'Raw CF'!B31</f>
        <v>-42033</v>
      </c>
      <c r="G43" s="37">
        <f>'Raw CF'!C31</f>
        <v>-55916</v>
      </c>
      <c r="H43" s="37">
        <f>'Raw CF'!D31</f>
        <v>-104190</v>
      </c>
      <c r="I43" s="20">
        <v>-167940</v>
      </c>
      <c r="J43" s="95">
        <v>-142330</v>
      </c>
      <c r="K43" s="95">
        <v>-150920</v>
      </c>
      <c r="L43" s="95">
        <v>-231600</v>
      </c>
      <c r="M43" s="95">
        <v>-248000</v>
      </c>
      <c r="N43" s="95">
        <f>N44*N11</f>
        <v>-259303.80000000002</v>
      </c>
      <c r="O43" s="95">
        <f>O44*O11</f>
        <v>-259303.80000000002</v>
      </c>
      <c r="P43" s="95">
        <f>P44*P11</f>
        <v>-269675.95199999999</v>
      </c>
      <c r="Q43" s="95">
        <f>Q44*Q11</f>
        <v>-277766.23056</v>
      </c>
      <c r="R43" s="95">
        <f>R44*R11</f>
        <v>-286099.21747680003</v>
      </c>
    </row>
    <row r="44" spans="1:86" s="51" customFormat="1" x14ac:dyDescent="0.25">
      <c r="A44" s="1"/>
      <c r="B44" s="71" t="s">
        <v>16</v>
      </c>
      <c r="C44" s="72">
        <f>C43/C11</f>
        <v>-1.2815665262678638E-2</v>
      </c>
      <c r="D44" s="72">
        <f>D43/D11</f>
        <v>-1.1008036169655533E-2</v>
      </c>
      <c r="E44" s="72">
        <f>E43/E11</f>
        <v>-2.9722255855510311E-2</v>
      </c>
      <c r="F44" s="72">
        <f>F43/F11</f>
        <v>-3.0327912025749828E-2</v>
      </c>
      <c r="G44" s="72">
        <f>G43/G11</f>
        <v>-2.4170317833022682E-2</v>
      </c>
      <c r="H44" s="72">
        <f>H43/H11</f>
        <v>-2.9308140540677388E-2</v>
      </c>
      <c r="I44" s="73">
        <f t="shared" ref="I44:M44" si="21">I43/I11</f>
        <v>-4.1880299251870326E-2</v>
      </c>
      <c r="J44" s="74">
        <f t="shared" si="21"/>
        <v>-3.3099999999999997E-2</v>
      </c>
      <c r="K44" s="74">
        <f t="shared" si="21"/>
        <v>-3.23862660944206E-2</v>
      </c>
      <c r="L44" s="74">
        <f t="shared" si="21"/>
        <v>-4.3946869070208727E-2</v>
      </c>
      <c r="M44" s="74">
        <f t="shared" si="21"/>
        <v>-4.298093587521664E-2</v>
      </c>
      <c r="N44" s="74">
        <v>-4.2000000000000003E-2</v>
      </c>
      <c r="O44" s="74">
        <v>-0.04</v>
      </c>
      <c r="P44" s="74">
        <v>-0.04</v>
      </c>
      <c r="Q44" s="74">
        <v>-0.04</v>
      </c>
      <c r="R44" s="74">
        <v>-0.04</v>
      </c>
    </row>
    <row r="45" spans="1:86" s="51" customFormat="1" x14ac:dyDescent="0.25">
      <c r="A45" s="1"/>
      <c r="B45" s="1"/>
      <c r="C45" s="1"/>
      <c r="D45" s="1"/>
      <c r="E45" s="2"/>
      <c r="F45" s="1"/>
      <c r="G45" s="1"/>
      <c r="H45" s="1"/>
      <c r="I45" s="12"/>
      <c r="J45" s="97"/>
      <c r="K45" s="97"/>
      <c r="L45" s="97"/>
      <c r="M45" s="97"/>
      <c r="N45" s="97"/>
      <c r="O45" s="97"/>
      <c r="P45" s="97"/>
      <c r="Q45" s="97"/>
      <c r="R45" s="97"/>
    </row>
    <row r="46" spans="1:86" s="51" customFormat="1" x14ac:dyDescent="0.25">
      <c r="A46" s="1"/>
      <c r="B46" s="1" t="s">
        <v>22</v>
      </c>
      <c r="C46" s="11">
        <f>SUM('Raw CF'!G21:G27)</f>
        <v>44902</v>
      </c>
      <c r="D46" s="11">
        <f>SUM('Raw CF'!H21:H27)</f>
        <v>11960</v>
      </c>
      <c r="E46" s="11">
        <f>SUM('Raw CF'!I21:I27)</f>
        <v>-111297</v>
      </c>
      <c r="F46" s="66">
        <f>SUM('Raw CF'!B22:B28)</f>
        <v>132388</v>
      </c>
      <c r="G46" s="66">
        <f>SUM('Raw CF'!C22:C28)</f>
        <v>-44526</v>
      </c>
      <c r="H46" s="66">
        <f>SUM('Raw CF'!D22:D28)</f>
        <v>-91682</v>
      </c>
      <c r="I46" s="20">
        <f>I47*I11</f>
        <v>-40100</v>
      </c>
      <c r="J46" s="95">
        <f>J47*J11</f>
        <v>-43000</v>
      </c>
      <c r="K46" s="95">
        <f>K47*K11</f>
        <v>-46600</v>
      </c>
      <c r="L46" s="95">
        <f>L47*L11</f>
        <v>-52700</v>
      </c>
      <c r="M46" s="95">
        <f>M47*M11</f>
        <v>-57700</v>
      </c>
      <c r="N46" s="95">
        <f>N47*N11</f>
        <v>-61739</v>
      </c>
      <c r="O46" s="95">
        <f>O47*O11</f>
        <v>-64825.950000000004</v>
      </c>
      <c r="P46" s="95">
        <f>P47*P11</f>
        <v>-67418.987999999998</v>
      </c>
      <c r="Q46" s="95">
        <f>Q47*Q11</f>
        <v>-69441.557639999999</v>
      </c>
      <c r="R46" s="95">
        <f>R47*R11</f>
        <v>-71524.804369200006</v>
      </c>
    </row>
    <row r="47" spans="1:86" s="51" customFormat="1" x14ac:dyDescent="0.25">
      <c r="A47" s="1"/>
      <c r="B47" s="71" t="s">
        <v>16</v>
      </c>
      <c r="C47" s="72">
        <f>C46/C11</f>
        <v>4.3870473555294366E-2</v>
      </c>
      <c r="D47" s="72">
        <f>D46/D11</f>
        <v>1.0990576224148943E-2</v>
      </c>
      <c r="E47" s="72">
        <f>E46/E11</f>
        <v>-9.0441762629886568E-2</v>
      </c>
      <c r="F47" s="72">
        <f>F46/F11</f>
        <v>9.5521414537743404E-2</v>
      </c>
      <c r="G47" s="72">
        <f>G46/G11</f>
        <v>-1.9246862648135916E-2</v>
      </c>
      <c r="H47" s="72">
        <f>H46/H11</f>
        <v>-2.5789700941072888E-2</v>
      </c>
      <c r="I47" s="76">
        <v>-0.01</v>
      </c>
      <c r="J47" s="98">
        <v>-0.01</v>
      </c>
      <c r="K47" s="98">
        <v>-0.01</v>
      </c>
      <c r="L47" s="98">
        <v>-0.01</v>
      </c>
      <c r="M47" s="98">
        <v>-0.01</v>
      </c>
      <c r="N47" s="98">
        <v>-0.01</v>
      </c>
      <c r="O47" s="98">
        <v>-0.01</v>
      </c>
      <c r="P47" s="98">
        <v>-0.01</v>
      </c>
      <c r="Q47" s="98">
        <v>-0.01</v>
      </c>
      <c r="R47" s="98">
        <v>-0.01</v>
      </c>
    </row>
    <row r="48" spans="1:86" s="51" customFormat="1" x14ac:dyDescent="0.25">
      <c r="A48" s="1"/>
      <c r="B48" s="1"/>
      <c r="C48" s="1"/>
      <c r="D48" s="1"/>
      <c r="E48" s="1"/>
      <c r="F48" s="1"/>
      <c r="G48" s="1"/>
      <c r="H48" s="1"/>
      <c r="I48" s="12"/>
      <c r="J48" s="97"/>
      <c r="K48" s="97"/>
      <c r="L48" s="97"/>
      <c r="M48" s="97"/>
      <c r="N48" s="97"/>
      <c r="O48" s="97"/>
      <c r="P48" s="97"/>
      <c r="Q48" s="97"/>
      <c r="R48" s="97"/>
    </row>
    <row r="49" spans="1:86" s="51" customFormat="1" x14ac:dyDescent="0.25">
      <c r="A49" s="1"/>
      <c r="B49" s="9" t="s">
        <v>23</v>
      </c>
      <c r="C49" s="11">
        <f>C33-C36</f>
        <v>9394</v>
      </c>
      <c r="D49" s="11">
        <f t="shared" ref="D49:H49" si="22">D33-D36</f>
        <v>48224</v>
      </c>
      <c r="E49" s="11">
        <f t="shared" si="22"/>
        <v>128824</v>
      </c>
      <c r="F49" s="11">
        <f t="shared" si="22"/>
        <v>320006</v>
      </c>
      <c r="G49" s="11">
        <f t="shared" si="22"/>
        <v>744909</v>
      </c>
      <c r="H49" s="11">
        <f t="shared" si="22"/>
        <v>672407</v>
      </c>
      <c r="I49" s="38">
        <f t="shared" ref="I49" si="23">I33-I36</f>
        <v>764080</v>
      </c>
      <c r="J49" s="99">
        <f t="shared" ref="J49:R49" si="24">J33-J36</f>
        <v>829819.99999999988</v>
      </c>
      <c r="K49" s="99">
        <f t="shared" si="24"/>
        <v>904299.99999999988</v>
      </c>
      <c r="L49" s="99">
        <f t="shared" si="24"/>
        <v>1132700</v>
      </c>
      <c r="M49" s="99">
        <f t="shared" si="24"/>
        <v>1236160</v>
      </c>
      <c r="N49" s="99">
        <f t="shared" si="24"/>
        <v>1324301.5500000003</v>
      </c>
      <c r="O49" s="99">
        <f t="shared" si="24"/>
        <v>1390516.6274999997</v>
      </c>
      <c r="P49" s="99">
        <f t="shared" si="24"/>
        <v>1446137.2926</v>
      </c>
      <c r="Q49" s="99">
        <f t="shared" si="24"/>
        <v>1489521.4113780002</v>
      </c>
      <c r="R49" s="99">
        <f t="shared" si="24"/>
        <v>1534207.0537193404</v>
      </c>
    </row>
    <row r="50" spans="1:86" s="51" customFormat="1" x14ac:dyDescent="0.25">
      <c r="A50" s="1"/>
      <c r="B50" s="9" t="s">
        <v>50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38">
        <v>0</v>
      </c>
      <c r="J50" s="99">
        <v>0</v>
      </c>
      <c r="K50" s="99">
        <v>0</v>
      </c>
      <c r="L50" s="99">
        <v>0</v>
      </c>
      <c r="M50" s="99">
        <v>0</v>
      </c>
      <c r="N50" s="99">
        <v>0</v>
      </c>
      <c r="O50" s="99">
        <v>0</v>
      </c>
      <c r="P50" s="99">
        <v>0</v>
      </c>
      <c r="Q50" s="99">
        <v>0</v>
      </c>
      <c r="R50" s="99">
        <v>0</v>
      </c>
    </row>
    <row r="51" spans="1:86" s="51" customFormat="1" x14ac:dyDescent="0.25">
      <c r="A51" s="1"/>
      <c r="B51" s="9" t="s">
        <v>24</v>
      </c>
      <c r="C51" s="11">
        <f>C31-C36-C50</f>
        <v>10238</v>
      </c>
      <c r="D51" s="11">
        <f t="shared" ref="D51:H51" si="25">D31-D36-D50</f>
        <v>50437</v>
      </c>
      <c r="E51" s="11">
        <f t="shared" si="25"/>
        <v>119497</v>
      </c>
      <c r="F51" s="11">
        <f t="shared" si="25"/>
        <v>312861</v>
      </c>
      <c r="G51" s="11">
        <f t="shared" si="25"/>
        <v>725694</v>
      </c>
      <c r="H51" s="11">
        <f t="shared" si="25"/>
        <v>540159</v>
      </c>
      <c r="I51" s="38">
        <f t="shared" ref="I51:J51" si="26">I31-I36-I50</f>
        <v>723980</v>
      </c>
      <c r="J51" s="99">
        <f t="shared" si="26"/>
        <v>786819.99999999988</v>
      </c>
      <c r="K51" s="99">
        <f t="shared" ref="K51" si="27">K31-K36-K50</f>
        <v>857699.99999999988</v>
      </c>
      <c r="L51" s="99">
        <f t="shared" ref="L51" si="28">L31-L36-L50</f>
        <v>1080000</v>
      </c>
      <c r="M51" s="99">
        <f t="shared" ref="M51" si="29">M31-M36-M50</f>
        <v>1190000</v>
      </c>
      <c r="N51" s="99">
        <f t="shared" ref="N51" si="30">N31-N36-N50</f>
        <v>1274910.3500000001</v>
      </c>
      <c r="O51" s="99">
        <f t="shared" ref="O51" si="31">O31-O36-O50</f>
        <v>1338655.8674999997</v>
      </c>
      <c r="P51" s="99">
        <f t="shared" ref="P51" si="32">P31-P36-P50</f>
        <v>1392202.1022000001</v>
      </c>
      <c r="Q51" s="99">
        <f t="shared" ref="Q51" si="33">Q31-Q36-Q50</f>
        <v>1433968.1652660002</v>
      </c>
      <c r="R51" s="99">
        <f t="shared" ref="R51" si="34">R31-R36-R50</f>
        <v>1476987.2102239802</v>
      </c>
      <c r="S51" s="52">
        <f>R51*(1+$E$6)</f>
        <v>1521296.8265306996</v>
      </c>
      <c r="T51" s="52">
        <f t="shared" ref="T51:CE51" si="35">S51*(1+$E$6)</f>
        <v>1566935.7313266206</v>
      </c>
      <c r="U51" s="52">
        <f t="shared" si="35"/>
        <v>1613943.8032664193</v>
      </c>
      <c r="V51" s="52">
        <f t="shared" si="35"/>
        <v>1662362.1173644119</v>
      </c>
      <c r="W51" s="52">
        <f t="shared" si="35"/>
        <v>1712232.9808853443</v>
      </c>
      <c r="X51" s="52">
        <f t="shared" si="35"/>
        <v>1763599.9703119048</v>
      </c>
      <c r="Y51" s="52">
        <f t="shared" si="35"/>
        <v>1816507.9694212619</v>
      </c>
      <c r="Z51" s="52">
        <f t="shared" si="35"/>
        <v>1871003.2085038999</v>
      </c>
      <c r="AA51" s="52">
        <f t="shared" si="35"/>
        <v>1927133.304759017</v>
      </c>
      <c r="AB51" s="52">
        <f t="shared" si="35"/>
        <v>1984947.3039017876</v>
      </c>
      <c r="AC51" s="52">
        <f t="shared" si="35"/>
        <v>2044495.7230188414</v>
      </c>
      <c r="AD51" s="52">
        <f t="shared" si="35"/>
        <v>2105830.5947094066</v>
      </c>
      <c r="AE51" s="52">
        <f t="shared" si="35"/>
        <v>2169005.5125506888</v>
      </c>
      <c r="AF51" s="52">
        <f t="shared" si="35"/>
        <v>2234075.6779272095</v>
      </c>
      <c r="AG51" s="52">
        <f t="shared" si="35"/>
        <v>2301097.9482650259</v>
      </c>
      <c r="AH51" s="52">
        <f t="shared" si="35"/>
        <v>2370130.8867129767</v>
      </c>
      <c r="AI51" s="52">
        <f t="shared" si="35"/>
        <v>2441234.8133143662</v>
      </c>
      <c r="AJ51" s="52">
        <f t="shared" si="35"/>
        <v>2514471.8577137971</v>
      </c>
      <c r="AK51" s="52">
        <f t="shared" si="35"/>
        <v>2589906.0134452111</v>
      </c>
      <c r="AL51" s="52">
        <f t="shared" si="35"/>
        <v>2667603.1938485675</v>
      </c>
      <c r="AM51" s="52">
        <f t="shared" si="35"/>
        <v>2747631.2896640245</v>
      </c>
      <c r="AN51" s="52">
        <f t="shared" si="35"/>
        <v>2830060.2283539451</v>
      </c>
      <c r="AO51" s="52">
        <f t="shared" si="35"/>
        <v>2914962.0352045633</v>
      </c>
      <c r="AP51" s="52">
        <f t="shared" si="35"/>
        <v>3002410.8962607002</v>
      </c>
      <c r="AQ51" s="52">
        <f t="shared" si="35"/>
        <v>3092483.2231485215</v>
      </c>
      <c r="AR51" s="52">
        <f t="shared" si="35"/>
        <v>3185257.7198429774</v>
      </c>
      <c r="AS51" s="52">
        <f t="shared" si="35"/>
        <v>3280815.4514382668</v>
      </c>
      <c r="AT51" s="52">
        <f t="shared" si="35"/>
        <v>3379239.914981415</v>
      </c>
      <c r="AU51" s="52">
        <f t="shared" si="35"/>
        <v>3480617.1124308575</v>
      </c>
      <c r="AV51" s="52">
        <f t="shared" si="35"/>
        <v>3585035.6258037835</v>
      </c>
      <c r="AW51" s="52">
        <f t="shared" si="35"/>
        <v>3692586.694577897</v>
      </c>
      <c r="AX51" s="52">
        <f t="shared" si="35"/>
        <v>3803364.2954152338</v>
      </c>
      <c r="AY51" s="52">
        <f t="shared" si="35"/>
        <v>3917465.224277691</v>
      </c>
      <c r="AZ51" s="52">
        <f t="shared" si="35"/>
        <v>4034989.1810060218</v>
      </c>
      <c r="BA51" s="52">
        <f t="shared" si="35"/>
        <v>4156038.8564362028</v>
      </c>
      <c r="BB51" s="52">
        <f t="shared" si="35"/>
        <v>4280720.0221292889</v>
      </c>
      <c r="BC51" s="52">
        <f t="shared" si="35"/>
        <v>4409141.6227931678</v>
      </c>
      <c r="BD51" s="52">
        <f t="shared" si="35"/>
        <v>4541415.8714769632</v>
      </c>
      <c r="BE51" s="52">
        <f t="shared" si="35"/>
        <v>4677658.3476212723</v>
      </c>
      <c r="BF51" s="52">
        <f t="shared" si="35"/>
        <v>4817988.0980499107</v>
      </c>
      <c r="BG51" s="52">
        <f t="shared" si="35"/>
        <v>4962527.740991408</v>
      </c>
      <c r="BH51" s="52">
        <f t="shared" si="35"/>
        <v>5111403.5732211508</v>
      </c>
      <c r="BI51" s="52">
        <f t="shared" si="35"/>
        <v>5264745.6804177854</v>
      </c>
      <c r="BJ51" s="52">
        <f t="shared" si="35"/>
        <v>5422688.0508303195</v>
      </c>
      <c r="BK51" s="52">
        <f t="shared" si="35"/>
        <v>5585368.6923552295</v>
      </c>
      <c r="BL51" s="52">
        <f t="shared" si="35"/>
        <v>5752929.7531258864</v>
      </c>
      <c r="BM51" s="52">
        <f t="shared" si="35"/>
        <v>5925517.6457196632</v>
      </c>
      <c r="BN51" s="52">
        <f t="shared" si="35"/>
        <v>6103283.1750912536</v>
      </c>
      <c r="BO51" s="52">
        <f t="shared" si="35"/>
        <v>6286381.6703439914</v>
      </c>
      <c r="BP51" s="52">
        <f t="shared" si="35"/>
        <v>6474973.1204543114</v>
      </c>
      <c r="BQ51" s="52">
        <f t="shared" si="35"/>
        <v>6669222.3140679412</v>
      </c>
      <c r="BR51" s="52">
        <f t="shared" si="35"/>
        <v>6869298.98348998</v>
      </c>
      <c r="BS51" s="52">
        <f t="shared" si="35"/>
        <v>7075377.95299468</v>
      </c>
      <c r="BT51" s="52">
        <f t="shared" si="35"/>
        <v>7287639.2915845206</v>
      </c>
      <c r="BU51" s="52">
        <f t="shared" si="35"/>
        <v>7506268.4703320563</v>
      </c>
      <c r="BV51" s="52">
        <f t="shared" si="35"/>
        <v>7731456.524442018</v>
      </c>
      <c r="BW51" s="52">
        <f t="shared" si="35"/>
        <v>7963400.2201752784</v>
      </c>
      <c r="BX51" s="52">
        <f t="shared" si="35"/>
        <v>8202302.2267805366</v>
      </c>
      <c r="BY51" s="52">
        <f t="shared" si="35"/>
        <v>8448371.2935839538</v>
      </c>
      <c r="BZ51" s="52">
        <f t="shared" si="35"/>
        <v>8701822.4323914722</v>
      </c>
      <c r="CA51" s="52">
        <f t="shared" si="35"/>
        <v>8962877.1053632163</v>
      </c>
      <c r="CB51" s="52">
        <f t="shared" si="35"/>
        <v>9231763.4185241126</v>
      </c>
      <c r="CC51" s="52">
        <f t="shared" si="35"/>
        <v>9508716.3210798353</v>
      </c>
      <c r="CD51" s="52">
        <f t="shared" si="35"/>
        <v>9793977.8107122313</v>
      </c>
      <c r="CE51" s="52">
        <f t="shared" si="35"/>
        <v>10087797.145033598</v>
      </c>
      <c r="CF51" s="52">
        <f t="shared" ref="CF51:CH51" si="36">CE51*(1+$E$6)</f>
        <v>10390431.059384607</v>
      </c>
      <c r="CG51" s="52">
        <f t="shared" si="36"/>
        <v>10702143.991166145</v>
      </c>
      <c r="CH51" s="52">
        <f t="shared" si="36"/>
        <v>11023208.31090113</v>
      </c>
    </row>
    <row r="52" spans="1:86" s="51" customFormat="1" x14ac:dyDescent="0.25">
      <c r="A52" s="1"/>
      <c r="B52" s="6"/>
      <c r="C52" s="11"/>
      <c r="D52" s="11"/>
      <c r="E52" s="11"/>
      <c r="F52" s="11"/>
      <c r="G52" s="11"/>
      <c r="H52" s="11"/>
      <c r="I52" s="12"/>
      <c r="J52" s="97"/>
      <c r="K52" s="97"/>
      <c r="L52" s="97"/>
      <c r="M52" s="97"/>
      <c r="N52" s="97"/>
      <c r="O52" s="97"/>
      <c r="P52" s="97"/>
      <c r="Q52" s="97"/>
      <c r="R52" s="97"/>
    </row>
    <row r="53" spans="1:86" s="51" customFormat="1" x14ac:dyDescent="0.25">
      <c r="A53" s="1"/>
      <c r="B53" s="9" t="s">
        <v>25</v>
      </c>
      <c r="C53" s="11">
        <f>C49+C43-C46+C40</f>
        <v>-15495</v>
      </c>
      <c r="D53" s="11">
        <f t="shared" ref="D53:R53" si="37">D49+D43-D46+D40</f>
        <v>53535</v>
      </c>
      <c r="E53" s="11">
        <f t="shared" si="37"/>
        <v>227758</v>
      </c>
      <c r="F53" s="11">
        <f t="shared" si="37"/>
        <v>173204</v>
      </c>
      <c r="G53" s="11">
        <f t="shared" si="37"/>
        <v>765495</v>
      </c>
      <c r="H53" s="11">
        <f t="shared" si="37"/>
        <v>699128</v>
      </c>
      <c r="I53" s="38">
        <f t="shared" si="37"/>
        <v>692190</v>
      </c>
      <c r="J53" s="99">
        <f t="shared" si="37"/>
        <v>800319.99999999988</v>
      </c>
      <c r="K53" s="99">
        <f t="shared" si="37"/>
        <v>881169.99999999988</v>
      </c>
      <c r="L53" s="99">
        <f t="shared" si="37"/>
        <v>1043390</v>
      </c>
      <c r="M53" s="99">
        <f t="shared" si="37"/>
        <v>1143950</v>
      </c>
      <c r="N53" s="99">
        <f t="shared" si="37"/>
        <v>1231693.0500000003</v>
      </c>
      <c r="O53" s="99">
        <f t="shared" si="37"/>
        <v>1306242.8924999996</v>
      </c>
      <c r="P53" s="99">
        <f t="shared" si="37"/>
        <v>1358492.6081999999</v>
      </c>
      <c r="Q53" s="99">
        <f t="shared" si="37"/>
        <v>1399247.3864460001</v>
      </c>
      <c r="R53" s="99">
        <f t="shared" si="37"/>
        <v>1441224.8080393802</v>
      </c>
    </row>
    <row r="54" spans="1:86" s="51" customFormat="1" x14ac:dyDescent="0.25">
      <c r="A54" s="1"/>
      <c r="B54" s="24" t="s">
        <v>26</v>
      </c>
      <c r="C54" s="1"/>
      <c r="D54" s="1"/>
      <c r="E54" s="1"/>
      <c r="F54" s="1"/>
      <c r="G54" s="1"/>
      <c r="H54" s="1"/>
      <c r="I54" s="68">
        <f>I53/((1+$E$5)^I9)</f>
        <v>604274.92662423686</v>
      </c>
      <c r="J54" s="69">
        <f>J53/((1+$E$5)^J9)</f>
        <v>609933.06441912765</v>
      </c>
      <c r="K54" s="69">
        <f>K53/((1+$E$5)^K9)</f>
        <v>586256.21991018753</v>
      </c>
      <c r="L54" s="69">
        <f>L53/((1+$E$5)^L9)</f>
        <v>606015.43284373882</v>
      </c>
      <c r="M54" s="69">
        <f>M53/((1+$E$5)^M9)</f>
        <v>580033.81129813008</v>
      </c>
      <c r="N54" s="69">
        <f>N53/((1+$E$5)^N9)</f>
        <v>545202.71755172964</v>
      </c>
      <c r="O54" s="69">
        <f>O53/((1+$E$5)^O9)</f>
        <v>504764.39711181395</v>
      </c>
      <c r="P54" s="69">
        <f>P53/((1+$E$5)^P9)</f>
        <v>458280.42558886908</v>
      </c>
      <c r="Q54" s="69">
        <f>Q53/((1+$E$5)^Q9)</f>
        <v>412076.44095178938</v>
      </c>
      <c r="R54" s="69">
        <f>R53/((1+$E$5)^R9)</f>
        <v>370530.75738353748</v>
      </c>
    </row>
    <row r="55" spans="1:86" s="51" customFormat="1" x14ac:dyDescent="0.25">
      <c r="A55" s="1"/>
      <c r="B55" s="25"/>
      <c r="C55" s="25"/>
      <c r="D55" s="25"/>
      <c r="E55" s="25"/>
      <c r="F55" s="25"/>
      <c r="G55" s="25"/>
      <c r="H55" s="25"/>
      <c r="I55" s="70"/>
      <c r="J55" s="1"/>
      <c r="K55" s="1"/>
      <c r="L55" s="1"/>
      <c r="M55" s="1"/>
      <c r="N55" s="1"/>
      <c r="O55" s="1"/>
      <c r="P55" s="1"/>
      <c r="Q55" s="1"/>
      <c r="R55" s="1"/>
    </row>
    <row r="56" spans="1:86" s="51" customFormat="1" x14ac:dyDescent="0.25">
      <c r="A56" s="1"/>
      <c r="B56" s="1" t="s">
        <v>27</v>
      </c>
      <c r="C56" s="26">
        <f>(R53*(1+$E$6))/($E$5-$E$6)</f>
        <v>12853756.968650701</v>
      </c>
      <c r="D56" s="1"/>
      <c r="E56" s="1" t="s">
        <v>28</v>
      </c>
      <c r="F56" s="18">
        <f>NPV($E$5,I51:CH51)</f>
        <v>8770443.222294677</v>
      </c>
      <c r="G56" s="1"/>
      <c r="H56" s="1"/>
      <c r="I56" s="15"/>
      <c r="J56" s="1"/>
      <c r="K56" s="1"/>
      <c r="L56" s="1"/>
      <c r="M56" s="1"/>
      <c r="N56" s="1"/>
      <c r="O56" s="1"/>
      <c r="P56" s="1"/>
      <c r="Q56" s="1"/>
      <c r="R56" s="2"/>
    </row>
    <row r="57" spans="1:86" s="51" customFormat="1" x14ac:dyDescent="0.25">
      <c r="A57" s="1"/>
      <c r="B57" s="3" t="s">
        <v>29</v>
      </c>
      <c r="C57" s="27">
        <f>C56/((1+$E$5)^$R$9)</f>
        <v>3304628.3121487387</v>
      </c>
      <c r="D57" s="16"/>
      <c r="E57" s="3"/>
      <c r="F57" s="3"/>
      <c r="G57" s="3"/>
      <c r="H57" s="16"/>
      <c r="I57" s="12"/>
      <c r="J57" s="1"/>
      <c r="K57" s="2"/>
      <c r="L57" s="86" t="s">
        <v>54</v>
      </c>
      <c r="M57" s="86"/>
      <c r="N57" s="86"/>
      <c r="O57" s="86"/>
      <c r="P57" s="86"/>
      <c r="Q57" s="86"/>
      <c r="R57" s="2"/>
    </row>
    <row r="58" spans="1:86" x14ac:dyDescent="0.25">
      <c r="A58" s="1"/>
      <c r="B58" s="6" t="s">
        <v>30</v>
      </c>
      <c r="C58" s="6"/>
      <c r="D58" s="1"/>
      <c r="E58" s="6"/>
      <c r="F58" s="6"/>
      <c r="G58" s="28" t="s">
        <v>31</v>
      </c>
      <c r="H58" s="28" t="s">
        <v>28</v>
      </c>
      <c r="I58" s="15"/>
      <c r="J58" s="1"/>
      <c r="K58" s="53"/>
      <c r="L58" s="58">
        <f>E64</f>
        <v>139.28481163749734</v>
      </c>
      <c r="M58" s="77">
        <v>-0.01</v>
      </c>
      <c r="N58" s="77">
        <v>0.01</v>
      </c>
      <c r="O58" s="77">
        <v>0.02</v>
      </c>
      <c r="P58" s="77">
        <v>0.03</v>
      </c>
      <c r="Q58" s="77">
        <v>0.04</v>
      </c>
    </row>
    <row r="59" spans="1:86" x14ac:dyDescent="0.25">
      <c r="A59" s="1"/>
      <c r="B59" s="29" t="s">
        <v>32</v>
      </c>
      <c r="C59" s="1"/>
      <c r="D59" s="23">
        <v>166235</v>
      </c>
      <c r="E59" s="1"/>
      <c r="F59" s="1"/>
      <c r="G59" s="26">
        <f>C57+SUM(I54:R54)</f>
        <v>8581996.505831901</v>
      </c>
      <c r="H59" s="18">
        <f>F56</f>
        <v>8770443.222294677</v>
      </c>
      <c r="I59" s="15"/>
      <c r="K59" s="53"/>
      <c r="L59" s="55">
        <f>L60-1%</f>
        <v>0.12548853427842507</v>
      </c>
      <c r="M59" s="59">
        <f t="dataTable" ref="M59:Q63" dt2D="1" dtr="1" r1="E6" r2="E5"/>
        <v>146.27424374117351</v>
      </c>
      <c r="N59" s="59">
        <v>156.69852694192309</v>
      </c>
      <c r="O59" s="59">
        <v>163.37957534124976</v>
      </c>
      <c r="P59" s="59">
        <v>171.43722452365853</v>
      </c>
      <c r="Q59" s="59">
        <v>181.33115723612087</v>
      </c>
    </row>
    <row r="60" spans="1:86" x14ac:dyDescent="0.25">
      <c r="A60" s="1"/>
      <c r="B60" s="30" t="s">
        <v>33</v>
      </c>
      <c r="C60" s="3"/>
      <c r="D60" s="82">
        <f>665940-409594</f>
        <v>256346</v>
      </c>
      <c r="E60" s="3"/>
      <c r="F60" s="3"/>
      <c r="G60" s="3"/>
      <c r="H60" s="3"/>
      <c r="I60" s="15"/>
      <c r="K60" s="54"/>
      <c r="L60" s="55">
        <f>L61-1%</f>
        <v>0.13548853427842508</v>
      </c>
      <c r="M60" s="59">
        <v>134.20360447507611</v>
      </c>
      <c r="N60" s="60">
        <v>142.45940190762954</v>
      </c>
      <c r="O60" s="60">
        <v>147.65345845782247</v>
      </c>
      <c r="P60" s="60">
        <v>153.82195256346733</v>
      </c>
      <c r="Q60" s="59">
        <v>161.26051904672875</v>
      </c>
      <c r="R60" s="47"/>
    </row>
    <row r="61" spans="1:86" x14ac:dyDescent="0.25">
      <c r="A61" s="1"/>
      <c r="B61" s="6" t="s">
        <v>34</v>
      </c>
      <c r="C61" s="6"/>
      <c r="D61" s="6"/>
      <c r="E61" s="6"/>
      <c r="F61" s="6"/>
      <c r="G61" s="31">
        <f>G59+D59-D60</f>
        <v>8491885.505831901</v>
      </c>
      <c r="H61" s="32">
        <f>H59+D59-D60</f>
        <v>8680332.222294677</v>
      </c>
      <c r="I61" s="15"/>
      <c r="K61" s="53" t="s">
        <v>1</v>
      </c>
      <c r="L61" s="55">
        <v>0.14548853427842509</v>
      </c>
      <c r="M61" s="59">
        <v>123.7763644288822</v>
      </c>
      <c r="N61" s="60">
        <v>130.39062142774907</v>
      </c>
      <c r="O61" s="61">
        <v>134.48552386126059</v>
      </c>
      <c r="P61" s="60">
        <v>139.28481163749734</v>
      </c>
      <c r="Q61" s="59">
        <v>144.98400567521895</v>
      </c>
    </row>
    <row r="62" spans="1:86" x14ac:dyDescent="0.25">
      <c r="A62" s="1"/>
      <c r="B62" s="3" t="s">
        <v>35</v>
      </c>
      <c r="C62" s="3"/>
      <c r="D62" s="37">
        <f>61644258/1000</f>
        <v>61644.258000000002</v>
      </c>
      <c r="E62" s="3"/>
      <c r="F62" s="3"/>
      <c r="G62" s="3"/>
      <c r="H62" s="33"/>
      <c r="I62" s="15"/>
      <c r="K62" s="53"/>
      <c r="L62" s="56">
        <f>L61+1%</f>
        <v>0.1554885342784251</v>
      </c>
      <c r="M62" s="59">
        <v>114.689380875908</v>
      </c>
      <c r="N62" s="60">
        <v>120.042480886145</v>
      </c>
      <c r="O62" s="60">
        <v>123.31033657464822</v>
      </c>
      <c r="P62" s="60">
        <v>127.09679027340488</v>
      </c>
      <c r="Q62" s="59">
        <v>131.53433044035515</v>
      </c>
    </row>
    <row r="63" spans="1:86" x14ac:dyDescent="0.25">
      <c r="A63" s="1"/>
      <c r="B63" s="17" t="s">
        <v>36</v>
      </c>
      <c r="C63" s="17"/>
      <c r="D63" s="62">
        <f>D62*$J$5</f>
        <v>5969629.94472</v>
      </c>
      <c r="E63" s="17"/>
      <c r="F63" s="17"/>
      <c r="G63" s="17"/>
      <c r="H63" s="34"/>
      <c r="I63" s="1"/>
      <c r="K63" s="53"/>
      <c r="L63" s="56">
        <f>L62+1%</f>
        <v>0.16548853427842511</v>
      </c>
      <c r="M63" s="59">
        <v>106.70881199523814</v>
      </c>
      <c r="N63" s="59">
        <v>111.0802903085799</v>
      </c>
      <c r="O63" s="59">
        <v>113.71609633527608</v>
      </c>
      <c r="P63" s="59">
        <v>116.73993263842597</v>
      </c>
      <c r="Q63" s="59">
        <v>120.24351801939878</v>
      </c>
    </row>
    <row r="64" spans="1:86" x14ac:dyDescent="0.25">
      <c r="A64" s="1"/>
      <c r="B64" s="6" t="s">
        <v>37</v>
      </c>
      <c r="D64" s="6" t="s">
        <v>38</v>
      </c>
      <c r="E64" s="35">
        <f>(G64+H64)/2</f>
        <v>139.28481163749734</v>
      </c>
      <c r="F64" s="6"/>
      <c r="G64" s="35">
        <f>G61/D62</f>
        <v>137.75630985503793</v>
      </c>
      <c r="H64" s="36">
        <f>H61/D62</f>
        <v>140.81331341995676</v>
      </c>
      <c r="I64" s="15"/>
    </row>
    <row r="65" spans="2:9" x14ac:dyDescent="0.25">
      <c r="B65" s="40"/>
      <c r="C65" s="40"/>
      <c r="D65" s="40"/>
      <c r="E65" s="40"/>
      <c r="F65" s="40"/>
      <c r="G65" s="40"/>
      <c r="H65" s="40"/>
      <c r="I65" s="22"/>
    </row>
  </sheetData>
  <sortState xmlns:xlrd2="http://schemas.microsoft.com/office/spreadsheetml/2017/richdata2" columnSort="1" ref="C10:H54">
    <sortCondition ref="C10:H10"/>
  </sortState>
  <mergeCells count="1">
    <mergeCell ref="L57:Q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02C1-E9E6-434A-8083-644F8C7C2221}">
  <dimension ref="A1:L31"/>
  <sheetViews>
    <sheetView topLeftCell="A7" workbookViewId="0">
      <selection activeCell="D15" sqref="D15"/>
    </sheetView>
  </sheetViews>
  <sheetFormatPr defaultRowHeight="15" x14ac:dyDescent="0.25"/>
  <cols>
    <col min="1" max="1" width="24.7109375" customWidth="1"/>
    <col min="2" max="4" width="16.85546875" customWidth="1"/>
    <col min="7" max="7" width="38.28515625" customWidth="1"/>
    <col min="8" max="10" width="12.85546875" customWidth="1"/>
  </cols>
  <sheetData>
    <row r="1" spans="1:12" x14ac:dyDescent="0.25">
      <c r="A1" s="93" t="s">
        <v>64</v>
      </c>
      <c r="B1" s="88" t="s">
        <v>65</v>
      </c>
      <c r="C1" s="87"/>
      <c r="D1" s="87"/>
      <c r="E1" s="78"/>
      <c r="F1" s="78"/>
      <c r="G1" s="88" t="s">
        <v>64</v>
      </c>
      <c r="H1" s="87"/>
      <c r="I1" s="87"/>
      <c r="J1" s="87"/>
    </row>
    <row r="2" spans="1:12" x14ac:dyDescent="0.25">
      <c r="A2" s="93" t="s">
        <v>51</v>
      </c>
      <c r="B2" s="88" t="s">
        <v>65</v>
      </c>
      <c r="C2" s="87"/>
      <c r="D2" s="87"/>
      <c r="G2" s="88" t="s">
        <v>51</v>
      </c>
      <c r="H2" s="87"/>
      <c r="I2" s="87"/>
      <c r="J2" s="87"/>
    </row>
    <row r="3" spans="1:12" x14ac:dyDescent="0.25">
      <c r="A3" s="93" t="s">
        <v>66</v>
      </c>
      <c r="B3" s="88" t="s">
        <v>65</v>
      </c>
      <c r="C3" s="87"/>
      <c r="D3" s="87"/>
      <c r="G3" s="88" t="s">
        <v>66</v>
      </c>
      <c r="H3" s="87"/>
      <c r="I3" s="87"/>
      <c r="J3" s="87"/>
    </row>
    <row r="4" spans="1:12" x14ac:dyDescent="0.25">
      <c r="A4" s="87"/>
      <c r="B4" s="87"/>
      <c r="C4" s="87"/>
      <c r="D4" s="87"/>
      <c r="G4" s="87"/>
      <c r="H4" s="87"/>
      <c r="I4" s="87"/>
      <c r="J4" s="87"/>
    </row>
    <row r="5" spans="1:12" x14ac:dyDescent="0.25">
      <c r="A5" s="88" t="s">
        <v>65</v>
      </c>
      <c r="B5" s="88" t="s">
        <v>65</v>
      </c>
      <c r="C5" s="88" t="s">
        <v>67</v>
      </c>
      <c r="D5" s="87"/>
      <c r="E5" s="78"/>
      <c r="F5" s="78"/>
      <c r="G5" s="88" t="s">
        <v>65</v>
      </c>
      <c r="H5" s="88" t="s">
        <v>65</v>
      </c>
      <c r="I5" s="88" t="s">
        <v>67</v>
      </c>
      <c r="J5" s="87"/>
      <c r="K5" s="78"/>
      <c r="L5" s="78"/>
    </row>
    <row r="6" spans="1:12" x14ac:dyDescent="0.25">
      <c r="A6" s="88" t="s">
        <v>65</v>
      </c>
      <c r="B6" s="88">
        <v>2020</v>
      </c>
      <c r="C6" s="88">
        <v>2021</v>
      </c>
      <c r="D6" s="88">
        <v>2022</v>
      </c>
      <c r="E6" s="78"/>
      <c r="F6" s="78"/>
      <c r="G6" s="88" t="s">
        <v>65</v>
      </c>
      <c r="H6" s="88">
        <v>2017</v>
      </c>
      <c r="I6" s="88">
        <v>2018</v>
      </c>
      <c r="J6" s="88">
        <v>2019</v>
      </c>
      <c r="K6" s="78"/>
      <c r="L6" s="78"/>
    </row>
    <row r="7" spans="1:12" x14ac:dyDescent="0.25">
      <c r="A7" s="88" t="s">
        <v>56</v>
      </c>
      <c r="B7" s="89">
        <v>1385951</v>
      </c>
      <c r="C7" s="89">
        <v>2313416</v>
      </c>
      <c r="D7" s="89">
        <v>3554985</v>
      </c>
      <c r="E7" s="80"/>
      <c r="G7" s="88" t="s">
        <v>56</v>
      </c>
      <c r="H7" s="89">
        <v>1023513</v>
      </c>
      <c r="I7" s="89">
        <v>1088205</v>
      </c>
      <c r="J7" s="89">
        <v>1230593</v>
      </c>
      <c r="K7" s="80"/>
    </row>
    <row r="8" spans="1:12" x14ac:dyDescent="0.25">
      <c r="A8" s="88" t="s">
        <v>68</v>
      </c>
      <c r="B8" s="90">
        <v>636003</v>
      </c>
      <c r="C8" s="90">
        <v>893196</v>
      </c>
      <c r="D8" s="90">
        <v>1694703</v>
      </c>
      <c r="E8" s="37"/>
      <c r="G8" s="88" t="s">
        <v>68</v>
      </c>
      <c r="H8" s="90">
        <v>506292</v>
      </c>
      <c r="I8" s="90">
        <v>528051</v>
      </c>
      <c r="J8" s="90">
        <v>613537</v>
      </c>
      <c r="K8" s="37"/>
    </row>
    <row r="9" spans="1:12" x14ac:dyDescent="0.25">
      <c r="A9" s="88" t="s">
        <v>69</v>
      </c>
      <c r="B9" s="90">
        <v>749948</v>
      </c>
      <c r="C9" s="90">
        <v>1420220</v>
      </c>
      <c r="D9" s="90">
        <v>1860282</v>
      </c>
      <c r="E9" s="37"/>
      <c r="G9" s="88" t="s">
        <v>69</v>
      </c>
      <c r="H9" s="90">
        <v>517221</v>
      </c>
      <c r="I9" s="90">
        <v>560154</v>
      </c>
      <c r="J9" s="90">
        <v>617056</v>
      </c>
      <c r="K9" s="37"/>
    </row>
    <row r="10" spans="1:12" x14ac:dyDescent="0.25">
      <c r="A10" s="88" t="s">
        <v>70</v>
      </c>
      <c r="B10" s="90">
        <v>514753</v>
      </c>
      <c r="C10" s="90">
        <v>737156</v>
      </c>
      <c r="D10" s="90">
        <v>1009526</v>
      </c>
      <c r="E10" s="37"/>
      <c r="G10" s="88" t="s">
        <v>70</v>
      </c>
      <c r="H10" s="90">
        <v>494601</v>
      </c>
      <c r="I10" s="90">
        <v>495028</v>
      </c>
      <c r="J10" s="90">
        <v>488407</v>
      </c>
      <c r="K10" s="37"/>
    </row>
    <row r="11" spans="1:12" x14ac:dyDescent="0.25">
      <c r="A11" s="88" t="s">
        <v>71</v>
      </c>
      <c r="B11" s="90">
        <v>21071</v>
      </c>
      <c r="C11" s="91">
        <v>0</v>
      </c>
      <c r="D11" s="91">
        <v>0</v>
      </c>
      <c r="E11" s="37"/>
      <c r="G11" s="88" t="s">
        <v>71</v>
      </c>
      <c r="H11" s="90">
        <v>5284</v>
      </c>
      <c r="I11" s="90">
        <v>2182</v>
      </c>
      <c r="J11" s="91">
        <v>0</v>
      </c>
      <c r="K11" s="37"/>
    </row>
    <row r="12" spans="1:12" x14ac:dyDescent="0.25">
      <c r="A12" s="88" t="s">
        <v>72</v>
      </c>
      <c r="B12" s="90">
        <v>214124</v>
      </c>
      <c r="C12" s="90">
        <v>683064</v>
      </c>
      <c r="D12" s="90">
        <v>850756</v>
      </c>
      <c r="E12" s="37"/>
      <c r="G12" s="88" t="s">
        <v>72</v>
      </c>
      <c r="H12" s="90">
        <v>17336</v>
      </c>
      <c r="I12" s="90">
        <v>62944</v>
      </c>
      <c r="J12" s="90">
        <v>128649</v>
      </c>
      <c r="K12" s="37"/>
    </row>
    <row r="13" spans="1:12" x14ac:dyDescent="0.25">
      <c r="A13" s="88" t="s">
        <v>73</v>
      </c>
      <c r="B13" s="90">
        <v>-1128</v>
      </c>
      <c r="C13" s="90">
        <v>-140</v>
      </c>
      <c r="D13" s="90">
        <v>3228</v>
      </c>
      <c r="E13" s="85"/>
      <c r="G13" s="88" t="s">
        <v>73</v>
      </c>
      <c r="H13" s="90">
        <v>563</v>
      </c>
      <c r="I13" s="90">
        <v>1318</v>
      </c>
      <c r="J13" s="90">
        <v>-1323</v>
      </c>
      <c r="K13" s="85"/>
    </row>
    <row r="14" spans="1:12" x14ac:dyDescent="0.25">
      <c r="A14" s="88" t="s">
        <v>74</v>
      </c>
      <c r="B14" s="90">
        <v>215</v>
      </c>
      <c r="C14" s="90">
        <v>775</v>
      </c>
      <c r="D14" s="90">
        <v>1020</v>
      </c>
      <c r="E14" s="85"/>
      <c r="G14" s="88" t="s">
        <v>74</v>
      </c>
      <c r="H14" s="90">
        <v>870</v>
      </c>
      <c r="I14" s="90">
        <v>1281</v>
      </c>
      <c r="J14" s="90">
        <v>601</v>
      </c>
    </row>
    <row r="15" spans="1:12" x14ac:dyDescent="0.25">
      <c r="A15" s="88" t="s">
        <v>75</v>
      </c>
      <c r="B15" s="90">
        <v>-6742</v>
      </c>
      <c r="C15" s="90">
        <v>-21647</v>
      </c>
      <c r="D15" s="90">
        <v>-136158</v>
      </c>
      <c r="E15" s="37"/>
      <c r="G15" s="88" t="s">
        <v>75</v>
      </c>
      <c r="H15" s="90">
        <v>-869</v>
      </c>
      <c r="I15" s="90">
        <v>-955</v>
      </c>
      <c r="J15" s="90">
        <v>-8636</v>
      </c>
      <c r="K15" s="37"/>
    </row>
    <row r="16" spans="1:12" x14ac:dyDescent="0.25">
      <c r="A16" s="88" t="s">
        <v>76</v>
      </c>
      <c r="B16" s="90">
        <v>510</v>
      </c>
      <c r="C16" s="90">
        <v>1797</v>
      </c>
      <c r="D16" s="90">
        <v>-338</v>
      </c>
      <c r="E16" s="37"/>
      <c r="G16" s="88" t="s">
        <v>132</v>
      </c>
      <c r="H16" s="90">
        <v>280</v>
      </c>
      <c r="I16" s="90">
        <v>569</v>
      </c>
      <c r="J16" s="90">
        <v>31</v>
      </c>
      <c r="K16" s="37"/>
    </row>
    <row r="17" spans="1:11" x14ac:dyDescent="0.25">
      <c r="A17" s="88" t="s">
        <v>77</v>
      </c>
      <c r="B17" s="90">
        <v>206979</v>
      </c>
      <c r="C17" s="90">
        <v>663849</v>
      </c>
      <c r="D17" s="90">
        <v>718508</v>
      </c>
      <c r="E17" s="37"/>
      <c r="G17" s="88" t="s">
        <v>77</v>
      </c>
      <c r="H17" s="90">
        <v>18180</v>
      </c>
      <c r="I17" s="90">
        <v>65157</v>
      </c>
      <c r="J17" s="90">
        <v>119322</v>
      </c>
      <c r="K17" s="37"/>
    </row>
    <row r="18" spans="1:11" x14ac:dyDescent="0.25">
      <c r="A18" s="88" t="s">
        <v>78</v>
      </c>
      <c r="B18" s="90">
        <v>-105882</v>
      </c>
      <c r="C18" s="90">
        <v>-61845</v>
      </c>
      <c r="D18" s="90">
        <v>178349</v>
      </c>
      <c r="E18" s="37"/>
      <c r="G18" s="88" t="s">
        <v>78</v>
      </c>
      <c r="H18" s="90">
        <v>7942</v>
      </c>
      <c r="I18" s="90">
        <v>14720</v>
      </c>
      <c r="J18" s="90">
        <v>-175</v>
      </c>
      <c r="K18" s="37"/>
    </row>
    <row r="19" spans="1:11" ht="30" customHeight="1" x14ac:dyDescent="0.25">
      <c r="A19" s="88" t="s">
        <v>24</v>
      </c>
      <c r="B19" s="89">
        <v>312861</v>
      </c>
      <c r="C19" s="89">
        <v>725694</v>
      </c>
      <c r="D19" s="89">
        <v>540159</v>
      </c>
      <c r="E19" s="37"/>
      <c r="G19" s="88" t="s">
        <v>24</v>
      </c>
      <c r="H19" s="90">
        <v>10238</v>
      </c>
      <c r="I19" s="90">
        <v>50437</v>
      </c>
      <c r="J19" s="90">
        <v>119497</v>
      </c>
      <c r="K19" s="37"/>
    </row>
    <row r="20" spans="1:11" x14ac:dyDescent="0.25">
      <c r="A20" s="87"/>
      <c r="B20" s="87"/>
      <c r="C20" s="87"/>
      <c r="D20" s="87"/>
      <c r="E20" s="80"/>
      <c r="G20" s="88" t="s">
        <v>133</v>
      </c>
      <c r="H20" s="90">
        <v>-12000</v>
      </c>
      <c r="I20" s="90">
        <v>-108224</v>
      </c>
      <c r="J20" s="91">
        <v>0</v>
      </c>
      <c r="K20" s="80"/>
    </row>
    <row r="21" spans="1:11" x14ac:dyDescent="0.25">
      <c r="A21" s="88" t="s">
        <v>79</v>
      </c>
      <c r="B21" s="87"/>
      <c r="C21" s="87"/>
      <c r="D21" s="87"/>
      <c r="G21" s="88" t="s">
        <v>134</v>
      </c>
      <c r="H21" s="87"/>
      <c r="I21" s="87"/>
      <c r="J21" s="87"/>
    </row>
    <row r="22" spans="1:11" x14ac:dyDescent="0.25">
      <c r="A22" s="88" t="s">
        <v>57</v>
      </c>
      <c r="B22" s="92">
        <v>4.6399999999999997</v>
      </c>
      <c r="C22" s="92">
        <v>11.62</v>
      </c>
      <c r="D22" s="92">
        <v>8.82</v>
      </c>
      <c r="G22" s="88" t="s">
        <v>135</v>
      </c>
      <c r="H22" s="87"/>
      <c r="I22" s="87"/>
      <c r="J22" s="87"/>
    </row>
    <row r="23" spans="1:11" x14ac:dyDescent="0.25">
      <c r="A23" s="88" t="s">
        <v>58</v>
      </c>
      <c r="B23" s="92">
        <v>4.5599999999999996</v>
      </c>
      <c r="C23" s="92">
        <v>11.39</v>
      </c>
      <c r="D23" s="92">
        <v>8.7100000000000009</v>
      </c>
      <c r="E23" s="37"/>
      <c r="G23" s="88" t="s">
        <v>136</v>
      </c>
      <c r="H23" s="90">
        <v>-3532</v>
      </c>
      <c r="I23" s="90">
        <v>-11429</v>
      </c>
      <c r="J23" s="91">
        <v>0</v>
      </c>
      <c r="K23" s="37"/>
    </row>
    <row r="24" spans="1:11" x14ac:dyDescent="0.25">
      <c r="A24" s="88" t="s">
        <v>80</v>
      </c>
      <c r="B24" s="87"/>
      <c r="C24" s="87"/>
      <c r="D24" s="87"/>
      <c r="E24" s="37"/>
      <c r="G24" s="88" t="s">
        <v>137</v>
      </c>
      <c r="H24" s="89">
        <v>-5294</v>
      </c>
      <c r="I24" s="89">
        <v>-69216</v>
      </c>
      <c r="J24" s="89">
        <v>119497</v>
      </c>
      <c r="K24" s="37"/>
    </row>
    <row r="25" spans="1:11" x14ac:dyDescent="0.25">
      <c r="A25" s="88" t="s">
        <v>57</v>
      </c>
      <c r="B25" s="90">
        <v>67386</v>
      </c>
      <c r="C25" s="90">
        <v>62464</v>
      </c>
      <c r="D25" s="90">
        <v>61220</v>
      </c>
      <c r="G25" s="88" t="s">
        <v>138</v>
      </c>
      <c r="H25" s="87"/>
      <c r="I25" s="87"/>
      <c r="J25" s="87"/>
    </row>
    <row r="26" spans="1:11" x14ac:dyDescent="0.25">
      <c r="A26" s="88" t="s">
        <v>58</v>
      </c>
      <c r="B26" s="90">
        <v>68544</v>
      </c>
      <c r="C26" s="90">
        <v>63718</v>
      </c>
      <c r="D26" s="90">
        <v>62006</v>
      </c>
      <c r="G26" s="88" t="s">
        <v>57</v>
      </c>
      <c r="H26" s="92">
        <v>-7.0000000000000007E-2</v>
      </c>
      <c r="I26" s="92">
        <v>-1.01</v>
      </c>
      <c r="J26" s="92">
        <v>1.7</v>
      </c>
    </row>
    <row r="27" spans="1:11" x14ac:dyDescent="0.25">
      <c r="A27" t="s">
        <v>59</v>
      </c>
      <c r="B27" s="79">
        <v>0.94</v>
      </c>
      <c r="E27" s="79"/>
      <c r="G27" s="88" t="s">
        <v>58</v>
      </c>
      <c r="H27" s="92">
        <v>-7.0000000000000007E-2</v>
      </c>
      <c r="I27" s="92">
        <v>-1.01</v>
      </c>
      <c r="J27" s="92">
        <v>1.66</v>
      </c>
      <c r="K27" s="79"/>
    </row>
    <row r="28" spans="1:11" x14ac:dyDescent="0.25">
      <c r="A28" s="84" t="s">
        <v>60</v>
      </c>
      <c r="G28" s="88" t="s">
        <v>80</v>
      </c>
      <c r="H28" s="87"/>
      <c r="I28" s="87"/>
      <c r="J28" s="87"/>
    </row>
    <row r="29" spans="1:11" x14ac:dyDescent="0.25">
      <c r="A29" t="s">
        <v>61</v>
      </c>
      <c r="B29" s="79">
        <v>0.94</v>
      </c>
      <c r="E29" s="79"/>
      <c r="G29" s="88" t="s">
        <v>57</v>
      </c>
      <c r="H29" s="90">
        <v>72255</v>
      </c>
      <c r="I29" s="90">
        <v>68421</v>
      </c>
      <c r="J29" s="90">
        <v>70357</v>
      </c>
      <c r="K29" s="79"/>
    </row>
    <row r="30" spans="1:11" x14ac:dyDescent="0.25">
      <c r="A30" t="s">
        <v>62</v>
      </c>
      <c r="B30" s="79">
        <v>1.78</v>
      </c>
      <c r="E30" s="79"/>
      <c r="G30" s="88" t="s">
        <v>58</v>
      </c>
      <c r="H30" s="90">
        <v>72255</v>
      </c>
      <c r="I30" s="90">
        <v>68421</v>
      </c>
      <c r="J30" s="90">
        <v>71771</v>
      </c>
      <c r="K30" s="79"/>
    </row>
    <row r="31" spans="1:11" x14ac:dyDescent="0.25">
      <c r="B31" s="37"/>
    </row>
  </sheetData>
  <sortState xmlns:xlrd2="http://schemas.microsoft.com/office/spreadsheetml/2017/richdata2" columnSort="1" ref="H6:J30">
    <sortCondition ref="H6:J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D905-C625-4CD5-A14F-584F213FA860}">
  <dimension ref="A1:I62"/>
  <sheetViews>
    <sheetView topLeftCell="A16" workbookViewId="0">
      <selection activeCell="E11" sqref="E11"/>
    </sheetView>
  </sheetViews>
  <sheetFormatPr defaultRowHeight="15" x14ac:dyDescent="0.25"/>
  <cols>
    <col min="1" max="1" width="51.42578125" customWidth="1"/>
    <col min="2" max="4" width="15.85546875" customWidth="1"/>
    <col min="6" max="6" width="31.85546875" customWidth="1"/>
    <col min="7" max="9" width="12.42578125" customWidth="1"/>
  </cols>
  <sheetData>
    <row r="1" spans="1:9" x14ac:dyDescent="0.25">
      <c r="A1" s="88" t="s">
        <v>64</v>
      </c>
      <c r="B1" s="87"/>
      <c r="C1" s="87"/>
      <c r="D1" s="87"/>
      <c r="F1" s="88" t="s">
        <v>64</v>
      </c>
      <c r="G1" s="87"/>
      <c r="H1" s="87"/>
      <c r="I1" s="87"/>
    </row>
    <row r="2" spans="1:9" x14ac:dyDescent="0.25">
      <c r="A2" s="88" t="s">
        <v>52</v>
      </c>
      <c r="B2" s="87"/>
      <c r="C2" s="87"/>
      <c r="D2" s="87"/>
      <c r="F2" s="88" t="s">
        <v>52</v>
      </c>
      <c r="G2" s="87"/>
      <c r="H2" s="87"/>
      <c r="I2" s="87"/>
    </row>
    <row r="3" spans="1:9" x14ac:dyDescent="0.25">
      <c r="A3" s="88" t="s">
        <v>81</v>
      </c>
      <c r="B3" s="87"/>
      <c r="C3" s="87"/>
      <c r="D3" s="87"/>
      <c r="F3" s="88" t="s">
        <v>81</v>
      </c>
      <c r="G3" s="87"/>
      <c r="H3" s="87"/>
      <c r="I3" s="87"/>
    </row>
    <row r="4" spans="1:9" x14ac:dyDescent="0.25">
      <c r="A4" s="88" t="s">
        <v>65</v>
      </c>
      <c r="B4" s="88" t="s">
        <v>65</v>
      </c>
      <c r="C4" s="88" t="s">
        <v>67</v>
      </c>
      <c r="D4" s="87"/>
      <c r="F4" s="87"/>
      <c r="G4" s="87"/>
      <c r="H4" s="87"/>
      <c r="I4" s="87"/>
    </row>
    <row r="5" spans="1:9" x14ac:dyDescent="0.25">
      <c r="A5" s="88" t="s">
        <v>65</v>
      </c>
      <c r="B5" s="88">
        <v>2020</v>
      </c>
      <c r="C5" s="88">
        <v>2021</v>
      </c>
      <c r="D5" s="88">
        <v>2022</v>
      </c>
      <c r="F5" s="88" t="s">
        <v>65</v>
      </c>
      <c r="G5" s="88" t="s">
        <v>65</v>
      </c>
      <c r="H5" s="88" t="s">
        <v>67</v>
      </c>
      <c r="I5" s="87"/>
    </row>
    <row r="6" spans="1:9" x14ac:dyDescent="0.25">
      <c r="A6" s="88" t="s">
        <v>82</v>
      </c>
      <c r="B6" s="87"/>
      <c r="C6" s="87"/>
      <c r="D6" s="87"/>
      <c r="F6" s="88" t="s">
        <v>65</v>
      </c>
      <c r="G6" s="88">
        <v>2017</v>
      </c>
      <c r="H6" s="88">
        <v>2018</v>
      </c>
      <c r="I6" s="88">
        <v>2019</v>
      </c>
    </row>
    <row r="7" spans="1:9" x14ac:dyDescent="0.25">
      <c r="A7" s="88" t="s">
        <v>24</v>
      </c>
      <c r="B7" s="89">
        <v>312861</v>
      </c>
      <c r="C7" s="89">
        <v>725694</v>
      </c>
      <c r="D7" s="89">
        <v>540159</v>
      </c>
      <c r="E7" s="78"/>
      <c r="F7" s="88" t="s">
        <v>82</v>
      </c>
      <c r="G7" s="87"/>
      <c r="H7" s="87"/>
      <c r="I7" s="87"/>
    </row>
    <row r="8" spans="1:9" x14ac:dyDescent="0.25">
      <c r="A8" s="88" t="s">
        <v>83</v>
      </c>
      <c r="B8" s="87"/>
      <c r="C8" s="87"/>
      <c r="D8" s="87"/>
      <c r="F8" s="88" t="s">
        <v>24</v>
      </c>
      <c r="G8" s="89">
        <v>10238</v>
      </c>
      <c r="H8" s="89">
        <v>50437</v>
      </c>
      <c r="I8" s="89">
        <v>119497</v>
      </c>
    </row>
    <row r="9" spans="1:9" x14ac:dyDescent="0.25">
      <c r="A9" s="88" t="s">
        <v>84</v>
      </c>
      <c r="B9" s="87"/>
      <c r="C9" s="87"/>
      <c r="D9" s="87"/>
      <c r="F9" s="88" t="s">
        <v>83</v>
      </c>
      <c r="G9" s="87"/>
      <c r="H9" s="87"/>
      <c r="I9" s="87"/>
    </row>
    <row r="10" spans="1:9" x14ac:dyDescent="0.25">
      <c r="A10" s="88" t="s">
        <v>85</v>
      </c>
      <c r="B10" s="90">
        <v>27619</v>
      </c>
      <c r="C10" s="90">
        <v>31976</v>
      </c>
      <c r="D10" s="90">
        <v>39229</v>
      </c>
      <c r="F10" s="88" t="s">
        <v>84</v>
      </c>
      <c r="G10" s="87"/>
      <c r="H10" s="87"/>
      <c r="I10" s="87"/>
    </row>
    <row r="11" spans="1:9" x14ac:dyDescent="0.25">
      <c r="A11" s="88" t="s">
        <v>86</v>
      </c>
      <c r="B11" s="90">
        <v>340</v>
      </c>
      <c r="C11" s="90">
        <v>310</v>
      </c>
      <c r="D11" s="90">
        <v>9063</v>
      </c>
      <c r="F11" s="88" t="s">
        <v>85</v>
      </c>
      <c r="G11" s="90">
        <v>33130</v>
      </c>
      <c r="H11" s="90">
        <v>29250</v>
      </c>
      <c r="I11" s="90">
        <v>24213</v>
      </c>
    </row>
    <row r="12" spans="1:9" x14ac:dyDescent="0.25">
      <c r="A12" s="88" t="s">
        <v>87</v>
      </c>
      <c r="B12" s="90">
        <v>61583</v>
      </c>
      <c r="C12" s="90">
        <v>58283</v>
      </c>
      <c r="D12" s="90">
        <v>66012</v>
      </c>
      <c r="F12" s="88" t="s">
        <v>139</v>
      </c>
      <c r="G12" s="90">
        <v>1025</v>
      </c>
      <c r="H12" s="90">
        <v>-1455</v>
      </c>
      <c r="I12" s="90">
        <v>-1140</v>
      </c>
    </row>
    <row r="13" spans="1:9" x14ac:dyDescent="0.25">
      <c r="A13" s="88" t="s">
        <v>88</v>
      </c>
      <c r="B13" s="90">
        <v>8994</v>
      </c>
      <c r="C13" s="90">
        <v>1264</v>
      </c>
      <c r="D13" s="90">
        <v>2770</v>
      </c>
      <c r="F13" s="88" t="s">
        <v>140</v>
      </c>
      <c r="G13" s="90">
        <v>-842</v>
      </c>
      <c r="H13" s="90">
        <v>5019</v>
      </c>
      <c r="I13" s="90">
        <v>-213</v>
      </c>
    </row>
    <row r="14" spans="1:9" x14ac:dyDescent="0.25">
      <c r="A14" s="88" t="s">
        <v>89</v>
      </c>
      <c r="B14" s="90">
        <v>5779</v>
      </c>
      <c r="C14" s="90">
        <v>-2629</v>
      </c>
      <c r="D14" s="90">
        <v>1101</v>
      </c>
      <c r="F14" s="88" t="s">
        <v>90</v>
      </c>
      <c r="G14" s="90">
        <v>9773</v>
      </c>
      <c r="H14" s="90">
        <v>13105</v>
      </c>
      <c r="I14" s="90">
        <v>14412</v>
      </c>
    </row>
    <row r="15" spans="1:9" x14ac:dyDescent="0.25">
      <c r="A15" s="88" t="s">
        <v>90</v>
      </c>
      <c r="B15" s="90">
        <v>16361</v>
      </c>
      <c r="C15" s="90">
        <v>38122</v>
      </c>
      <c r="D15" s="90">
        <v>31303</v>
      </c>
      <c r="F15" s="88" t="s">
        <v>71</v>
      </c>
      <c r="G15" s="90">
        <v>5284</v>
      </c>
      <c r="H15" s="90">
        <v>2182</v>
      </c>
      <c r="I15" s="91">
        <v>0</v>
      </c>
    </row>
    <row r="16" spans="1:9" x14ac:dyDescent="0.25">
      <c r="A16" s="87"/>
      <c r="B16" s="87"/>
      <c r="C16" s="87"/>
      <c r="D16" s="87"/>
      <c r="F16" s="88" t="s">
        <v>87</v>
      </c>
      <c r="G16" s="91">
        <v>0</v>
      </c>
      <c r="H16" s="91">
        <v>0</v>
      </c>
      <c r="I16" s="90">
        <v>60142</v>
      </c>
    </row>
    <row r="17" spans="1:9" x14ac:dyDescent="0.25">
      <c r="A17" s="88" t="s">
        <v>71</v>
      </c>
      <c r="B17" s="90">
        <v>21071</v>
      </c>
      <c r="C17" s="91">
        <v>0</v>
      </c>
      <c r="D17" s="91">
        <v>0</v>
      </c>
      <c r="F17" s="88" t="s">
        <v>89</v>
      </c>
      <c r="G17" s="90">
        <v>-589</v>
      </c>
      <c r="H17" s="90">
        <v>711</v>
      </c>
      <c r="I17" s="90">
        <v>1566</v>
      </c>
    </row>
    <row r="18" spans="1:9" x14ac:dyDescent="0.25">
      <c r="A18" s="88" t="s">
        <v>91</v>
      </c>
      <c r="B18" s="90">
        <v>-325061</v>
      </c>
      <c r="C18" s="90">
        <v>-241283</v>
      </c>
      <c r="D18" s="90">
        <v>-4760</v>
      </c>
      <c r="F18" s="88" t="s">
        <v>91</v>
      </c>
      <c r="G18" s="90">
        <v>-3093</v>
      </c>
      <c r="H18" s="90">
        <v>959</v>
      </c>
      <c r="I18" s="90">
        <v>-16259</v>
      </c>
    </row>
    <row r="19" spans="1:9" x14ac:dyDescent="0.25">
      <c r="A19" s="88" t="s">
        <v>92</v>
      </c>
      <c r="B19" s="90">
        <v>4967</v>
      </c>
      <c r="C19" s="90">
        <v>-46</v>
      </c>
      <c r="D19" s="90">
        <v>9947</v>
      </c>
      <c r="F19" s="88" t="s">
        <v>141</v>
      </c>
      <c r="G19" s="90">
        <v>-1564</v>
      </c>
      <c r="H19" s="90">
        <v>1994</v>
      </c>
      <c r="I19" s="90">
        <v>-963</v>
      </c>
    </row>
    <row r="20" spans="1:9" x14ac:dyDescent="0.25">
      <c r="A20" s="88" t="s">
        <v>93</v>
      </c>
      <c r="B20" s="87"/>
      <c r="C20" s="87"/>
      <c r="D20" s="87"/>
      <c r="F20" s="88" t="s">
        <v>142</v>
      </c>
      <c r="G20" s="87"/>
      <c r="H20" s="87"/>
      <c r="I20" s="87"/>
    </row>
    <row r="21" spans="1:9" x14ac:dyDescent="0.25">
      <c r="A21" s="88" t="s">
        <v>94</v>
      </c>
      <c r="B21" s="87"/>
      <c r="C21" s="87"/>
      <c r="D21" s="87"/>
      <c r="F21" s="88" t="s">
        <v>95</v>
      </c>
      <c r="G21" s="90">
        <v>620</v>
      </c>
      <c r="H21" s="90">
        <v>-24623</v>
      </c>
      <c r="I21" s="90">
        <v>-15015</v>
      </c>
    </row>
    <row r="22" spans="1:9" x14ac:dyDescent="0.25">
      <c r="A22" s="88" t="s">
        <v>95</v>
      </c>
      <c r="B22" s="90">
        <v>-47045</v>
      </c>
      <c r="C22" s="90">
        <v>-35063</v>
      </c>
      <c r="D22" s="90">
        <v>-56766</v>
      </c>
      <c r="F22" s="88" t="s">
        <v>96</v>
      </c>
      <c r="G22" s="90">
        <v>23319</v>
      </c>
      <c r="H22" s="90">
        <v>-1987</v>
      </c>
      <c r="I22" s="90">
        <v>-48156</v>
      </c>
    </row>
    <row r="23" spans="1:9" x14ac:dyDescent="0.25">
      <c r="A23" s="88" t="s">
        <v>96</v>
      </c>
      <c r="B23" s="90">
        <v>-13462</v>
      </c>
      <c r="C23" s="90">
        <v>-43063</v>
      </c>
      <c r="D23" s="90">
        <v>-91614</v>
      </c>
      <c r="F23" s="88" t="s">
        <v>97</v>
      </c>
      <c r="G23" s="90">
        <v>18907</v>
      </c>
      <c r="H23" s="90">
        <v>9703</v>
      </c>
      <c r="I23" s="90">
        <v>-4012</v>
      </c>
    </row>
    <row r="24" spans="1:9" x14ac:dyDescent="0.25">
      <c r="A24" s="88" t="s">
        <v>97</v>
      </c>
      <c r="B24" s="90">
        <v>5007</v>
      </c>
      <c r="C24" s="90">
        <v>-6212</v>
      </c>
      <c r="D24" s="90">
        <v>-14435</v>
      </c>
      <c r="F24" s="88" t="s">
        <v>98</v>
      </c>
      <c r="G24" s="90">
        <v>-2714</v>
      </c>
      <c r="H24" s="90">
        <v>12953</v>
      </c>
      <c r="I24" s="90">
        <v>6032</v>
      </c>
    </row>
    <row r="25" spans="1:9" x14ac:dyDescent="0.25">
      <c r="A25" s="88" t="s">
        <v>98</v>
      </c>
      <c r="B25" s="90">
        <v>23229</v>
      </c>
      <c r="C25" s="90">
        <v>34868</v>
      </c>
      <c r="D25" s="90">
        <v>41701</v>
      </c>
      <c r="F25" s="88" t="s">
        <v>99</v>
      </c>
      <c r="G25" s="90">
        <v>5489</v>
      </c>
      <c r="H25" s="90">
        <v>18065</v>
      </c>
      <c r="I25" s="90">
        <v>13265</v>
      </c>
    </row>
    <row r="26" spans="1:9" x14ac:dyDescent="0.25">
      <c r="A26" s="88" t="s">
        <v>99</v>
      </c>
      <c r="B26" s="90">
        <v>22358</v>
      </c>
      <c r="C26" s="90">
        <v>38448</v>
      </c>
      <c r="D26" s="90">
        <v>38629</v>
      </c>
      <c r="F26" s="88" t="s">
        <v>143</v>
      </c>
      <c r="G26" s="91">
        <v>0</v>
      </c>
      <c r="H26" s="91">
        <v>0</v>
      </c>
      <c r="I26" s="90">
        <v>-64313</v>
      </c>
    </row>
    <row r="27" spans="1:9" x14ac:dyDescent="0.25">
      <c r="A27" s="88" t="s">
        <v>100</v>
      </c>
      <c r="B27" s="90">
        <v>-61178</v>
      </c>
      <c r="C27" s="90">
        <v>-52752</v>
      </c>
      <c r="D27" s="90">
        <v>-63355</v>
      </c>
      <c r="F27" s="88" t="s">
        <v>63</v>
      </c>
      <c r="G27" s="90">
        <v>-719</v>
      </c>
      <c r="H27" s="90">
        <v>-2151</v>
      </c>
      <c r="I27" s="90">
        <v>902</v>
      </c>
    </row>
    <row r="28" spans="1:9" x14ac:dyDescent="0.25">
      <c r="A28" s="88" t="s">
        <v>63</v>
      </c>
      <c r="B28" s="90">
        <v>203479</v>
      </c>
      <c r="C28" s="90">
        <v>19248</v>
      </c>
      <c r="D28" s="90">
        <v>54158</v>
      </c>
      <c r="F28" s="88" t="s">
        <v>101</v>
      </c>
      <c r="G28" s="90">
        <v>98264</v>
      </c>
      <c r="H28" s="90">
        <v>114162</v>
      </c>
      <c r="I28" s="90">
        <v>89958</v>
      </c>
    </row>
    <row r="29" spans="1:9" x14ac:dyDescent="0.25">
      <c r="A29" s="88" t="s">
        <v>101</v>
      </c>
      <c r="B29" s="90">
        <v>266902</v>
      </c>
      <c r="C29" s="90">
        <v>567165</v>
      </c>
      <c r="D29" s="90">
        <v>603142</v>
      </c>
      <c r="F29" s="88" t="s">
        <v>102</v>
      </c>
      <c r="G29" s="87"/>
      <c r="H29" s="87"/>
      <c r="I29" s="87"/>
    </row>
    <row r="30" spans="1:9" x14ac:dyDescent="0.25">
      <c r="A30" s="88" t="s">
        <v>102</v>
      </c>
      <c r="B30" s="87"/>
      <c r="C30" s="87"/>
      <c r="D30" s="87"/>
      <c r="F30" s="88" t="s">
        <v>103</v>
      </c>
      <c r="G30" s="90">
        <v>-13117</v>
      </c>
      <c r="H30" s="90">
        <v>-11979</v>
      </c>
      <c r="I30" s="90">
        <v>-36576</v>
      </c>
    </row>
    <row r="31" spans="1:9" x14ac:dyDescent="0.25">
      <c r="A31" s="88" t="s">
        <v>103</v>
      </c>
      <c r="B31" s="90">
        <v>-42033</v>
      </c>
      <c r="C31" s="90">
        <v>-55916</v>
      </c>
      <c r="D31" s="90">
        <v>-104190</v>
      </c>
      <c r="F31" s="88" t="s">
        <v>144</v>
      </c>
      <c r="G31" s="90">
        <v>1579</v>
      </c>
      <c r="H31" s="90">
        <v>1856</v>
      </c>
      <c r="I31" s="90">
        <v>616</v>
      </c>
    </row>
    <row r="32" spans="1:9" x14ac:dyDescent="0.25">
      <c r="A32" s="88" t="s">
        <v>104</v>
      </c>
      <c r="B32" s="91">
        <v>0</v>
      </c>
      <c r="C32" s="91">
        <v>0</v>
      </c>
      <c r="D32" s="90">
        <v>-2046881</v>
      </c>
      <c r="F32" s="88" t="s">
        <v>114</v>
      </c>
      <c r="G32" s="91">
        <v>0</v>
      </c>
      <c r="H32" s="90">
        <v>13</v>
      </c>
      <c r="I32" s="90">
        <v>-276</v>
      </c>
    </row>
    <row r="33" spans="1:9" x14ac:dyDescent="0.25">
      <c r="A33" s="87"/>
      <c r="B33" s="87"/>
      <c r="C33" s="87"/>
      <c r="D33" s="87"/>
      <c r="F33" s="88" t="s">
        <v>106</v>
      </c>
      <c r="G33" s="90">
        <v>-11538</v>
      </c>
      <c r="H33" s="90">
        <v>-10110</v>
      </c>
      <c r="I33" s="90">
        <v>-36236</v>
      </c>
    </row>
    <row r="34" spans="1:9" x14ac:dyDescent="0.25">
      <c r="A34" s="88" t="s">
        <v>105</v>
      </c>
      <c r="B34" s="90">
        <v>271</v>
      </c>
      <c r="C34" s="90">
        <v>-9</v>
      </c>
      <c r="D34" s="90">
        <v>-20</v>
      </c>
      <c r="F34" s="88" t="s">
        <v>107</v>
      </c>
      <c r="G34" s="87"/>
      <c r="H34" s="87"/>
      <c r="I34" s="87"/>
    </row>
    <row r="35" spans="1:9" x14ac:dyDescent="0.25">
      <c r="A35" s="88" t="s">
        <v>106</v>
      </c>
      <c r="B35" s="90">
        <v>-41762</v>
      </c>
      <c r="C35" s="90">
        <v>-55925</v>
      </c>
      <c r="D35" s="90">
        <v>-2151091</v>
      </c>
      <c r="F35" s="88" t="s">
        <v>145</v>
      </c>
      <c r="G35" s="90">
        <v>5500</v>
      </c>
      <c r="H35" s="90">
        <v>120000</v>
      </c>
      <c r="I35" s="90">
        <v>315000</v>
      </c>
    </row>
    <row r="36" spans="1:9" x14ac:dyDescent="0.25">
      <c r="A36" s="88" t="s">
        <v>107</v>
      </c>
      <c r="B36" s="87"/>
      <c r="C36" s="87"/>
      <c r="D36" s="87"/>
      <c r="F36" s="88" t="s">
        <v>146</v>
      </c>
      <c r="G36" s="90">
        <v>-8611</v>
      </c>
      <c r="H36" s="90">
        <v>-662</v>
      </c>
      <c r="I36" s="90">
        <v>-230000</v>
      </c>
    </row>
    <row r="37" spans="1:9" x14ac:dyDescent="0.25">
      <c r="A37" s="88" t="s">
        <v>108</v>
      </c>
      <c r="B37" s="91">
        <v>0</v>
      </c>
      <c r="C37" s="90">
        <v>700000</v>
      </c>
      <c r="D37" s="91">
        <v>0</v>
      </c>
      <c r="F37" s="88" t="s">
        <v>147</v>
      </c>
      <c r="G37" s="91">
        <v>0</v>
      </c>
      <c r="H37" s="90">
        <v>-183724</v>
      </c>
      <c r="I37" s="91">
        <v>0</v>
      </c>
    </row>
    <row r="38" spans="1:9" x14ac:dyDescent="0.25">
      <c r="A38" s="88" t="s">
        <v>109</v>
      </c>
      <c r="B38" s="90">
        <v>210000</v>
      </c>
      <c r="C38" s="90">
        <v>390000</v>
      </c>
      <c r="D38" s="90">
        <v>2169898</v>
      </c>
      <c r="F38" s="88" t="s">
        <v>148</v>
      </c>
      <c r="G38" s="90">
        <v>-12000</v>
      </c>
      <c r="H38" s="90">
        <v>-21015</v>
      </c>
      <c r="I38" s="90">
        <v>-2985</v>
      </c>
    </row>
    <row r="39" spans="1:9" x14ac:dyDescent="0.25">
      <c r="A39" s="88" t="s">
        <v>110</v>
      </c>
      <c r="B39" s="90">
        <v>-235000</v>
      </c>
      <c r="C39" s="90">
        <v>-485000</v>
      </c>
      <c r="D39" s="90">
        <v>-575285</v>
      </c>
      <c r="F39" s="88" t="s">
        <v>112</v>
      </c>
      <c r="G39" s="90">
        <v>-50000</v>
      </c>
      <c r="H39" s="90">
        <v>-63131</v>
      </c>
      <c r="I39" s="90">
        <v>-147190</v>
      </c>
    </row>
    <row r="40" spans="1:9" x14ac:dyDescent="0.25">
      <c r="A40" s="88" t="s">
        <v>111</v>
      </c>
      <c r="B40" s="90">
        <v>-518</v>
      </c>
      <c r="C40" s="90">
        <v>-14755</v>
      </c>
      <c r="D40" s="90">
        <v>-53596</v>
      </c>
      <c r="F40" s="88" t="s">
        <v>114</v>
      </c>
      <c r="G40" s="90">
        <v>-259</v>
      </c>
      <c r="H40" s="90">
        <v>-270</v>
      </c>
      <c r="I40" s="90">
        <v>-3463</v>
      </c>
    </row>
    <row r="41" spans="1:9" x14ac:dyDescent="0.25">
      <c r="A41" s="87"/>
      <c r="B41" s="87"/>
      <c r="C41" s="87"/>
      <c r="D41" s="87"/>
      <c r="F41" s="88" t="s">
        <v>149</v>
      </c>
      <c r="G41" s="90">
        <v>-65370</v>
      </c>
      <c r="H41" s="90">
        <v>-148802</v>
      </c>
      <c r="I41" s="90">
        <v>-68638</v>
      </c>
    </row>
    <row r="42" spans="1:9" x14ac:dyDescent="0.25">
      <c r="A42" s="88" t="s">
        <v>112</v>
      </c>
      <c r="B42" s="90">
        <v>-170832</v>
      </c>
      <c r="C42" s="90">
        <v>-1000000</v>
      </c>
      <c r="D42" s="91">
        <v>0</v>
      </c>
      <c r="F42" s="88" t="s">
        <v>116</v>
      </c>
      <c r="G42" s="87"/>
      <c r="H42" s="87"/>
      <c r="I42" s="87"/>
    </row>
    <row r="43" spans="1:9" x14ac:dyDescent="0.25">
      <c r="A43" s="88" t="s">
        <v>113</v>
      </c>
      <c r="B43" s="90">
        <v>-3060</v>
      </c>
      <c r="C43" s="90">
        <v>-20119</v>
      </c>
      <c r="D43" s="90">
        <v>-11477</v>
      </c>
      <c r="F43" s="88" t="s">
        <v>117</v>
      </c>
      <c r="G43" s="90">
        <v>3053</v>
      </c>
      <c r="H43" s="90">
        <v>-4775</v>
      </c>
      <c r="I43" s="90">
        <v>-569</v>
      </c>
    </row>
    <row r="44" spans="1:9" x14ac:dyDescent="0.25">
      <c r="A44" s="88" t="s">
        <v>114</v>
      </c>
      <c r="B44" s="90">
        <v>1372</v>
      </c>
      <c r="C44" s="90">
        <v>236</v>
      </c>
      <c r="D44" s="90">
        <v>119</v>
      </c>
      <c r="F44" s="88" t="s">
        <v>118</v>
      </c>
      <c r="G44" s="87"/>
      <c r="H44" s="87"/>
      <c r="I44" s="87"/>
    </row>
    <row r="45" spans="1:9" x14ac:dyDescent="0.25">
      <c r="A45" s="88" t="s">
        <v>115</v>
      </c>
      <c r="B45" s="90">
        <v>-198038</v>
      </c>
      <c r="C45" s="90">
        <v>-429638</v>
      </c>
      <c r="D45" s="90">
        <v>1529659</v>
      </c>
      <c r="F45" s="88" t="s">
        <v>119</v>
      </c>
      <c r="G45" s="90">
        <v>24409</v>
      </c>
      <c r="H45" s="90">
        <v>-49525</v>
      </c>
      <c r="I45" s="90">
        <v>-15485</v>
      </c>
    </row>
    <row r="46" spans="1:9" x14ac:dyDescent="0.25">
      <c r="A46" s="88" t="s">
        <v>116</v>
      </c>
      <c r="B46" s="87"/>
      <c r="C46" s="87"/>
      <c r="D46" s="87"/>
      <c r="F46" s="88" t="s">
        <v>120</v>
      </c>
      <c r="G46" s="87"/>
      <c r="H46" s="87"/>
      <c r="I46" s="87"/>
    </row>
    <row r="47" spans="1:9" x14ac:dyDescent="0.25">
      <c r="A47" s="88" t="s">
        <v>117</v>
      </c>
      <c r="B47" s="90">
        <v>126</v>
      </c>
      <c r="C47" s="90">
        <v>-3950</v>
      </c>
      <c r="D47" s="90">
        <v>-3750</v>
      </c>
      <c r="F47" s="88" t="s">
        <v>121</v>
      </c>
      <c r="G47" s="90">
        <v>152646</v>
      </c>
      <c r="H47" s="90">
        <v>177055</v>
      </c>
      <c r="I47" s="90">
        <v>127530</v>
      </c>
    </row>
    <row r="48" spans="1:9" x14ac:dyDescent="0.25">
      <c r="A48" s="88" t="s">
        <v>118</v>
      </c>
      <c r="B48" s="87"/>
      <c r="C48" s="87"/>
      <c r="D48" s="87"/>
      <c r="F48" s="88" t="s">
        <v>122</v>
      </c>
      <c r="G48" s="87"/>
      <c r="H48" s="87"/>
      <c r="I48" s="87"/>
    </row>
    <row r="49" spans="1:9" x14ac:dyDescent="0.25">
      <c r="A49" s="88" t="s">
        <v>119</v>
      </c>
      <c r="B49" s="90">
        <v>27228</v>
      </c>
      <c r="C49" s="90">
        <v>77652</v>
      </c>
      <c r="D49" s="90">
        <v>-22040</v>
      </c>
      <c r="F49" s="88" t="s">
        <v>123</v>
      </c>
      <c r="G49" s="89">
        <v>177055</v>
      </c>
      <c r="H49" s="89">
        <v>127530</v>
      </c>
      <c r="I49" s="89">
        <v>112045</v>
      </c>
    </row>
    <row r="50" spans="1:9" x14ac:dyDescent="0.25">
      <c r="A50" s="88" t="s">
        <v>120</v>
      </c>
      <c r="B50" s="87"/>
      <c r="C50" s="87"/>
      <c r="D50" s="87"/>
      <c r="F50" s="87"/>
      <c r="G50" s="87"/>
      <c r="H50" s="87"/>
      <c r="I50" s="87"/>
    </row>
    <row r="51" spans="1:9" x14ac:dyDescent="0.25">
      <c r="A51" s="88" t="s">
        <v>121</v>
      </c>
      <c r="B51" s="90">
        <v>112045</v>
      </c>
      <c r="C51" s="90">
        <v>139273</v>
      </c>
      <c r="D51" s="90">
        <v>216925</v>
      </c>
      <c r="F51" s="88" t="s">
        <v>124</v>
      </c>
      <c r="G51" s="89">
        <v>434</v>
      </c>
      <c r="H51" s="89">
        <v>462</v>
      </c>
      <c r="I51" s="89">
        <v>7519</v>
      </c>
    </row>
    <row r="52" spans="1:9" x14ac:dyDescent="0.25">
      <c r="A52" s="88" t="s">
        <v>122</v>
      </c>
      <c r="B52" s="87"/>
      <c r="C52" s="87"/>
      <c r="D52" s="87"/>
      <c r="F52" s="88" t="s">
        <v>125</v>
      </c>
      <c r="G52" s="90">
        <v>13208</v>
      </c>
      <c r="H52" s="90">
        <v>18633</v>
      </c>
      <c r="I52" s="90">
        <v>16050</v>
      </c>
    </row>
    <row r="53" spans="1:9" x14ac:dyDescent="0.25">
      <c r="A53" s="88" t="s">
        <v>123</v>
      </c>
      <c r="B53" s="89">
        <v>139273</v>
      </c>
      <c r="C53" s="89">
        <v>216925</v>
      </c>
      <c r="D53" s="89">
        <v>194885</v>
      </c>
    </row>
    <row r="54" spans="1:9" x14ac:dyDescent="0.25">
      <c r="A54" s="87"/>
      <c r="B54" s="87"/>
      <c r="C54" s="87"/>
      <c r="D54" s="87"/>
    </row>
    <row r="55" spans="1:9" x14ac:dyDescent="0.25">
      <c r="A55" s="88" t="s">
        <v>124</v>
      </c>
      <c r="B55" s="89">
        <v>6658</v>
      </c>
      <c r="C55" s="89">
        <v>10210</v>
      </c>
      <c r="D55" s="89">
        <v>127809</v>
      </c>
      <c r="F55" s="80"/>
    </row>
    <row r="56" spans="1:9" x14ac:dyDescent="0.25">
      <c r="A56" s="88" t="s">
        <v>125</v>
      </c>
      <c r="B56" s="90">
        <v>20816</v>
      </c>
      <c r="C56" s="90">
        <v>159680</v>
      </c>
      <c r="D56" s="90">
        <v>130084</v>
      </c>
      <c r="F56" s="80"/>
    </row>
    <row r="57" spans="1:9" x14ac:dyDescent="0.25">
      <c r="A57" s="88" t="s">
        <v>126</v>
      </c>
      <c r="B57" s="90">
        <v>59579</v>
      </c>
      <c r="C57" s="90">
        <v>61412</v>
      </c>
      <c r="D57" s="90">
        <v>62852</v>
      </c>
    </row>
    <row r="58" spans="1:9" x14ac:dyDescent="0.25">
      <c r="A58" s="88" t="s">
        <v>127</v>
      </c>
      <c r="B58" s="87"/>
      <c r="C58" s="87"/>
      <c r="D58" s="87"/>
    </row>
    <row r="59" spans="1:9" x14ac:dyDescent="0.25">
      <c r="A59" s="88" t="s">
        <v>128</v>
      </c>
      <c r="B59" s="90">
        <v>55369</v>
      </c>
      <c r="C59" s="90">
        <v>55035</v>
      </c>
      <c r="D59" s="90">
        <v>137554</v>
      </c>
    </row>
    <row r="60" spans="1:9" x14ac:dyDescent="0.25">
      <c r="A60" s="88" t="s">
        <v>129</v>
      </c>
      <c r="B60" s="87"/>
      <c r="C60" s="87"/>
      <c r="D60" s="87"/>
      <c r="F60" s="80"/>
    </row>
    <row r="61" spans="1:9" x14ac:dyDescent="0.25">
      <c r="A61" s="88" t="s">
        <v>130</v>
      </c>
      <c r="B61" s="90">
        <v>4222</v>
      </c>
      <c r="C61" s="90">
        <v>15831</v>
      </c>
      <c r="D61" s="90">
        <v>18245</v>
      </c>
    </row>
    <row r="62" spans="1:9" x14ac:dyDescent="0.25">
      <c r="A62" s="88" t="s">
        <v>131</v>
      </c>
      <c r="B62" s="91">
        <v>0</v>
      </c>
      <c r="C62" s="91">
        <v>0</v>
      </c>
      <c r="D62" s="90">
        <v>270396</v>
      </c>
    </row>
  </sheetData>
  <sortState xmlns:xlrd2="http://schemas.microsoft.com/office/spreadsheetml/2017/richdata2" columnSort="1" ref="G6:I52">
    <sortCondition ref="G6:I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50DA-B624-4752-9D51-D896479F0D02}">
  <dimension ref="A1:L15"/>
  <sheetViews>
    <sheetView workbookViewId="0">
      <selection activeCell="C13" sqref="C13"/>
    </sheetView>
  </sheetViews>
  <sheetFormatPr defaultRowHeight="15" x14ac:dyDescent="0.25"/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25" x14ac:dyDescent="0.35">
      <c r="A2" s="2"/>
      <c r="B2" s="39" t="s">
        <v>1</v>
      </c>
      <c r="C2" s="2"/>
      <c r="D2" s="2"/>
      <c r="E2" s="2"/>
      <c r="F2" s="2"/>
      <c r="G2" s="2"/>
      <c r="H2" s="2"/>
      <c r="I2" s="2"/>
      <c r="J2" s="2"/>
      <c r="K2" s="2"/>
      <c r="L2" s="40"/>
    </row>
    <row r="3" spans="1:12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2"/>
    </row>
    <row r="4" spans="1:12" x14ac:dyDescent="0.25">
      <c r="A4" s="42" t="s">
        <v>40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 t="s">
        <v>41</v>
      </c>
      <c r="C6" s="2"/>
      <c r="D6" s="43">
        <f>'CROX DCF'!N37</f>
        <v>0.22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 t="s">
        <v>42</v>
      </c>
      <c r="C7" s="2"/>
      <c r="D7" s="43">
        <v>3.6999999999999998E-2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 t="s">
        <v>43</v>
      </c>
      <c r="C8" s="2"/>
      <c r="D8" s="44">
        <v>1.89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 t="s">
        <v>44</v>
      </c>
      <c r="C9" s="2"/>
      <c r="D9" s="43">
        <v>0.06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34</v>
      </c>
      <c r="B12" s="2"/>
      <c r="C12" s="23">
        <f>'CROX DCF'!D63</f>
        <v>5969629.94472</v>
      </c>
      <c r="D12" s="2"/>
      <c r="E12" s="2" t="s">
        <v>33</v>
      </c>
      <c r="F12" s="2"/>
      <c r="G12" s="23">
        <f>'CROX DCF'!D60</f>
        <v>256346</v>
      </c>
      <c r="H12" s="2"/>
      <c r="I12" s="2" t="s">
        <v>45</v>
      </c>
      <c r="J12" s="2"/>
      <c r="K12" s="23">
        <f>G12+C12</f>
        <v>6225975.94472</v>
      </c>
      <c r="L12" s="2"/>
    </row>
    <row r="13" spans="1:12" x14ac:dyDescent="0.25">
      <c r="A13" s="2" t="s">
        <v>46</v>
      </c>
      <c r="B13" s="2"/>
      <c r="C13" s="45">
        <f>C12/K12</f>
        <v>0.95882637480837096</v>
      </c>
      <c r="D13" s="2"/>
      <c r="E13" s="2" t="s">
        <v>47</v>
      </c>
      <c r="F13" s="2"/>
      <c r="G13" s="46">
        <f>G12/K12</f>
        <v>4.1173625191629072E-2</v>
      </c>
      <c r="H13" s="2"/>
      <c r="I13" s="2"/>
      <c r="J13" s="2"/>
      <c r="K13" s="2"/>
      <c r="L13" s="2"/>
    </row>
    <row r="14" spans="1:12" x14ac:dyDescent="0.25">
      <c r="A14" s="2" t="s">
        <v>48</v>
      </c>
      <c r="B14" s="2"/>
      <c r="C14" s="47">
        <f>D7+D8*(D9)</f>
        <v>0.15039999999999998</v>
      </c>
      <c r="D14" s="2"/>
      <c r="E14" s="2" t="s">
        <v>49</v>
      </c>
      <c r="F14" s="2"/>
      <c r="G14" s="94">
        <f xml:space="preserve"> -'Raw IS'!D15/3413435</f>
        <v>3.9888850966841319E-2</v>
      </c>
      <c r="H14" s="2"/>
      <c r="I14" s="48" t="s">
        <v>1</v>
      </c>
      <c r="J14" s="49"/>
      <c r="K14" s="50">
        <f>C13*C14+G14*G13*(1-D6)</f>
        <v>0.14548853427842509</v>
      </c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CROX DCF</vt:lpstr>
      <vt:lpstr>Raw IS</vt:lpstr>
      <vt:lpstr>Raw 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Alessandro Ognibene</cp:lastModifiedBy>
  <dcterms:created xsi:type="dcterms:W3CDTF">2023-05-02T11:48:48Z</dcterms:created>
  <dcterms:modified xsi:type="dcterms:W3CDTF">2023-08-29T10:42:20Z</dcterms:modified>
</cp:coreProperties>
</file>