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0B33CAE0-482D-47CC-9C95-12C3F4F30A63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ZM DCF" sheetId="1" r:id="rId1"/>
    <sheet name="Sheet1" sheetId="3" r:id="rId2"/>
    <sheet name="Sheet2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K11" i="1"/>
  <c r="L11" i="1" s="1"/>
  <c r="I11" i="1"/>
  <c r="D66" i="1"/>
  <c r="D69" i="1"/>
  <c r="D6" i="2"/>
  <c r="C56" i="1"/>
  <c r="D67" i="1"/>
  <c r="J50" i="1"/>
  <c r="I50" i="1"/>
  <c r="J47" i="1"/>
  <c r="I47" i="1"/>
  <c r="J25" i="1"/>
  <c r="L25" i="1"/>
  <c r="I25" i="1"/>
  <c r="J22" i="1"/>
  <c r="L22" i="1"/>
  <c r="I22" i="1"/>
  <c r="J19" i="1"/>
  <c r="L19" i="1"/>
  <c r="I19" i="1"/>
  <c r="J35" i="1"/>
  <c r="L35" i="1"/>
  <c r="I35" i="1"/>
  <c r="H56" i="1"/>
  <c r="D56" i="1"/>
  <c r="E56" i="1"/>
  <c r="F56" i="1"/>
  <c r="G56" i="1"/>
  <c r="C60" i="1"/>
  <c r="G57" i="1"/>
  <c r="H57" i="1"/>
  <c r="H58" i="1" s="1"/>
  <c r="F57" i="1"/>
  <c r="F58" i="1" s="1"/>
  <c r="D58" i="1"/>
  <c r="E58" i="1"/>
  <c r="G58" i="1"/>
  <c r="C58" i="1"/>
  <c r="C57" i="1"/>
  <c r="G53" i="1"/>
  <c r="H53" i="1"/>
  <c r="F53" i="1"/>
  <c r="D53" i="1"/>
  <c r="E53" i="1"/>
  <c r="C53" i="1"/>
  <c r="G50" i="1"/>
  <c r="H50" i="1"/>
  <c r="F50" i="1"/>
  <c r="G47" i="1"/>
  <c r="H47" i="1"/>
  <c r="F47" i="1"/>
  <c r="D47" i="1"/>
  <c r="E47" i="1"/>
  <c r="C47" i="1"/>
  <c r="D50" i="1"/>
  <c r="E50" i="1"/>
  <c r="C50" i="1"/>
  <c r="G43" i="1"/>
  <c r="H43" i="1"/>
  <c r="F43" i="1"/>
  <c r="D43" i="1"/>
  <c r="E43" i="1"/>
  <c r="C43" i="1"/>
  <c r="C40" i="1"/>
  <c r="D38" i="1"/>
  <c r="E38" i="1"/>
  <c r="F38" i="1"/>
  <c r="G38" i="1"/>
  <c r="H38" i="1"/>
  <c r="C38" i="1"/>
  <c r="G35" i="1"/>
  <c r="H35" i="1"/>
  <c r="F35" i="1"/>
  <c r="D35" i="1"/>
  <c r="E35" i="1"/>
  <c r="E36" i="1" s="1"/>
  <c r="C35" i="1"/>
  <c r="D36" i="1"/>
  <c r="F36" i="1"/>
  <c r="G36" i="1"/>
  <c r="H36" i="1"/>
  <c r="C36" i="1"/>
  <c r="G31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H31" i="1" s="1"/>
  <c r="F19" i="1"/>
  <c r="F31" i="1" s="1"/>
  <c r="D19" i="1"/>
  <c r="D31" i="1" s="1"/>
  <c r="E19" i="1"/>
  <c r="E31" i="1" s="1"/>
  <c r="C19" i="1"/>
  <c r="C31" i="1" s="1"/>
  <c r="G14" i="1"/>
  <c r="H14" i="1"/>
  <c r="F14" i="1"/>
  <c r="D14" i="1"/>
  <c r="E14" i="1"/>
  <c r="C14" i="1"/>
  <c r="G11" i="1"/>
  <c r="H11" i="1"/>
  <c r="F11" i="1"/>
  <c r="D11" i="1"/>
  <c r="E11" i="1"/>
  <c r="C11" i="1"/>
  <c r="M11" i="1" l="1"/>
  <c r="L50" i="1"/>
  <c r="L47" i="1"/>
  <c r="K35" i="1"/>
  <c r="K19" i="1"/>
  <c r="K22" i="1"/>
  <c r="K25" i="1"/>
  <c r="K47" i="1"/>
  <c r="K50" i="1"/>
  <c r="L67" i="1"/>
  <c r="L66" i="1" s="1"/>
  <c r="L69" i="1"/>
  <c r="L70" i="1" s="1"/>
  <c r="H20" i="1"/>
  <c r="H12" i="1"/>
  <c r="C32" i="1"/>
  <c r="G12" i="2"/>
  <c r="D70" i="1"/>
  <c r="C12" i="2" s="1"/>
  <c r="N11" i="1" l="1"/>
  <c r="M50" i="1"/>
  <c r="M47" i="1"/>
  <c r="M25" i="1"/>
  <c r="M22" i="1"/>
  <c r="M19" i="1"/>
  <c r="M35" i="1"/>
  <c r="G29" i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D34" i="1" s="1"/>
  <c r="E16" i="1"/>
  <c r="E34" i="1" s="1"/>
  <c r="C16" i="1"/>
  <c r="C34" i="1" s="1"/>
  <c r="F54" i="1"/>
  <c r="G54" i="1"/>
  <c r="H54" i="1"/>
  <c r="F48" i="1"/>
  <c r="F16" i="1"/>
  <c r="F34" i="1" s="1"/>
  <c r="G16" i="1"/>
  <c r="G34" i="1" s="1"/>
  <c r="H16" i="1"/>
  <c r="H34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O11" i="1" l="1"/>
  <c r="N50" i="1"/>
  <c r="N47" i="1"/>
  <c r="N25" i="1"/>
  <c r="N22" i="1"/>
  <c r="N19" i="1"/>
  <c r="N35" i="1"/>
  <c r="E40" i="1"/>
  <c r="F17" i="1"/>
  <c r="D17" i="1"/>
  <c r="I28" i="1"/>
  <c r="I31" i="1" s="1"/>
  <c r="I32" i="1" s="1"/>
  <c r="H17" i="1"/>
  <c r="I53" i="1"/>
  <c r="E54" i="1"/>
  <c r="K12" i="2"/>
  <c r="I16" i="1"/>
  <c r="G17" i="1"/>
  <c r="C17" i="1"/>
  <c r="E17" i="1"/>
  <c r="H32" i="1"/>
  <c r="F32" i="1"/>
  <c r="D32" i="1"/>
  <c r="P11" i="1" l="1"/>
  <c r="O50" i="1"/>
  <c r="O47" i="1"/>
  <c r="O25" i="1"/>
  <c r="O22" i="1"/>
  <c r="O19" i="1"/>
  <c r="O35" i="1"/>
  <c r="E44" i="1"/>
  <c r="G40" i="1"/>
  <c r="I14" i="1"/>
  <c r="C13" i="2"/>
  <c r="G13" i="2"/>
  <c r="D40" i="1"/>
  <c r="F40" i="1"/>
  <c r="H40" i="1"/>
  <c r="H60" i="1" s="1"/>
  <c r="Q11" i="1" l="1"/>
  <c r="P50" i="1"/>
  <c r="P47" i="1"/>
  <c r="P25" i="1"/>
  <c r="P22" i="1"/>
  <c r="P19" i="1"/>
  <c r="P35" i="1"/>
  <c r="F44" i="1"/>
  <c r="H44" i="1"/>
  <c r="C44" i="1"/>
  <c r="G60" i="1"/>
  <c r="G44" i="1"/>
  <c r="D60" i="1"/>
  <c r="D44" i="1"/>
  <c r="G41" i="1"/>
  <c r="F60" i="1"/>
  <c r="E60" i="1"/>
  <c r="E41" i="1"/>
  <c r="C41" i="1"/>
  <c r="K14" i="2"/>
  <c r="E5" i="1" s="1"/>
  <c r="D41" i="1"/>
  <c r="H41" i="1"/>
  <c r="F41" i="1"/>
  <c r="R11" i="1" l="1"/>
  <c r="Q50" i="1"/>
  <c r="Q47" i="1"/>
  <c r="Q25" i="1"/>
  <c r="Q22" i="1"/>
  <c r="Q19" i="1"/>
  <c r="Q35" i="1"/>
  <c r="I34" i="1"/>
  <c r="I40" i="1" s="1"/>
  <c r="R50" i="1" l="1"/>
  <c r="R47" i="1"/>
  <c r="R25" i="1"/>
  <c r="R22" i="1"/>
  <c r="R19" i="1"/>
  <c r="R35" i="1"/>
  <c r="I41" i="1"/>
  <c r="I43" i="1"/>
  <c r="I56" i="1" s="1"/>
  <c r="I38" i="1"/>
  <c r="I58" i="1" s="1"/>
  <c r="J28" i="1" l="1"/>
  <c r="J31" i="1" s="1"/>
  <c r="J32" i="1" s="1"/>
  <c r="J53" i="1"/>
  <c r="J16" i="1"/>
  <c r="J34" i="1" l="1"/>
  <c r="J40" i="1" s="1"/>
  <c r="J38" i="1"/>
  <c r="J14" i="1"/>
  <c r="J41" i="1" l="1"/>
  <c r="J43" i="1"/>
  <c r="J58" i="1" s="1"/>
  <c r="J56" i="1" l="1"/>
  <c r="J60" i="1"/>
  <c r="J61" i="1" s="1"/>
  <c r="K16" i="1"/>
  <c r="K28" i="1"/>
  <c r="K31" i="1" s="1"/>
  <c r="K32" i="1" s="1"/>
  <c r="K53" i="1"/>
  <c r="K34" i="1" l="1"/>
  <c r="K40" i="1" s="1"/>
  <c r="K14" i="1"/>
  <c r="K41" i="1" l="1"/>
  <c r="K43" i="1"/>
  <c r="K38" i="1"/>
  <c r="K58" i="1" s="1"/>
  <c r="K56" i="1" l="1"/>
  <c r="K60" i="1" s="1"/>
  <c r="K61" i="1" s="1"/>
  <c r="L53" i="1"/>
  <c r="L28" i="1"/>
  <c r="L31" i="1" s="1"/>
  <c r="L32" i="1" s="1"/>
  <c r="L16" i="1"/>
  <c r="L14" i="1" l="1"/>
  <c r="L34" i="1"/>
  <c r="L40" i="1" s="1"/>
  <c r="L41" i="1" l="1"/>
  <c r="L43" i="1"/>
  <c r="L56" i="1" s="1"/>
  <c r="L60" i="1" s="1"/>
  <c r="L61" i="1" s="1"/>
  <c r="L38" i="1"/>
  <c r="L58" i="1" s="1"/>
  <c r="M16" i="1"/>
  <c r="M53" i="1"/>
  <c r="M28" i="1"/>
  <c r="M31" i="1" s="1"/>
  <c r="M32" i="1" s="1"/>
  <c r="M34" i="1" l="1"/>
  <c r="M40" i="1" s="1"/>
  <c r="M14" i="1"/>
  <c r="M41" i="1" l="1"/>
  <c r="M43" i="1"/>
  <c r="M38" i="1"/>
  <c r="M58" i="1" s="1"/>
  <c r="N53" i="1"/>
  <c r="N28" i="1"/>
  <c r="N31" i="1" s="1"/>
  <c r="N32" i="1" s="1"/>
  <c r="N16" i="1"/>
  <c r="N34" i="1" l="1"/>
  <c r="N40" i="1" s="1"/>
  <c r="M60" i="1"/>
  <c r="M61" i="1" s="1"/>
  <c r="M56" i="1"/>
  <c r="N38" i="1"/>
  <c r="N58" i="1" s="1"/>
  <c r="N43" i="1"/>
  <c r="N14" i="1"/>
  <c r="O53" i="1"/>
  <c r="O28" i="1"/>
  <c r="O31" i="1" s="1"/>
  <c r="O32" i="1" s="1"/>
  <c r="O16" i="1"/>
  <c r="O14" i="1" s="1"/>
  <c r="N60" i="1" l="1"/>
  <c r="N61" i="1" s="1"/>
  <c r="N56" i="1"/>
  <c r="N41" i="1"/>
  <c r="O34" i="1"/>
  <c r="O40" i="1" s="1"/>
  <c r="O41" i="1" l="1"/>
  <c r="O43" i="1"/>
  <c r="O38" i="1"/>
  <c r="O58" i="1" s="1"/>
  <c r="P28" i="1"/>
  <c r="P31" i="1" s="1"/>
  <c r="P32" i="1" s="1"/>
  <c r="P53" i="1"/>
  <c r="P16" i="1"/>
  <c r="P14" i="1" s="1"/>
  <c r="O56" i="1" l="1"/>
  <c r="O60" i="1" s="1"/>
  <c r="O61" i="1" s="1"/>
  <c r="P34" i="1"/>
  <c r="P38" i="1"/>
  <c r="Q53" i="1"/>
  <c r="Q28" i="1"/>
  <c r="Q31" i="1" s="1"/>
  <c r="Q32" i="1" s="1"/>
  <c r="Q16" i="1"/>
  <c r="P43" i="1" l="1"/>
  <c r="P58" i="1" s="1"/>
  <c r="P40" i="1"/>
  <c r="Q14" i="1"/>
  <c r="Q34" i="1"/>
  <c r="Q40" i="1" s="1"/>
  <c r="Q41" i="1" l="1"/>
  <c r="P56" i="1"/>
  <c r="P41" i="1"/>
  <c r="P60" i="1"/>
  <c r="P61" i="1" s="1"/>
  <c r="Q43" i="1"/>
  <c r="Q56" i="1" s="1"/>
  <c r="Q38" i="1"/>
  <c r="Q58" i="1" s="1"/>
  <c r="Q60" i="1" l="1"/>
  <c r="Q61" i="1" s="1"/>
  <c r="R16" i="1"/>
  <c r="R14" i="1" s="1"/>
  <c r="R28" i="1"/>
  <c r="R31" i="1" s="1"/>
  <c r="R32" i="1" s="1"/>
  <c r="R53" i="1"/>
  <c r="R38" i="1" l="1"/>
  <c r="R34" i="1"/>
  <c r="R40" i="1" s="1"/>
  <c r="R41" i="1" l="1"/>
  <c r="R43" i="1"/>
  <c r="R56" i="1" s="1"/>
  <c r="R60" i="1" s="1"/>
  <c r="R58" i="1" l="1"/>
  <c r="R61" i="1"/>
  <c r="C63" i="1"/>
  <c r="C64" i="1" s="1"/>
  <c r="S58" i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F63" i="1" l="1"/>
  <c r="H66" i="1" s="1"/>
  <c r="H68" i="1" s="1"/>
  <c r="H71" i="1" s="1"/>
  <c r="I60" i="1"/>
  <c r="I61" i="1" s="1"/>
  <c r="G66" i="1" s="1"/>
  <c r="G68" i="1" s="1"/>
  <c r="G71" i="1" s="1"/>
  <c r="D71" i="1" l="1"/>
  <c r="J6" i="1" s="1"/>
  <c r="N5" i="1" s="1"/>
  <c r="L65" i="1" l="1"/>
</calcChain>
</file>

<file path=xl/sharedStrings.xml><?xml version="1.0" encoding="utf-8"?>
<sst xmlns="http://schemas.openxmlformats.org/spreadsheetml/2006/main" count="255" uniqueCount="143">
  <si>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</si>
  <si>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</si>
  <si>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</si>
  <si>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</si>
  <si>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</si>
  <si>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</si>
  <si>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</si>
  <si>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</si>
  <si>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</si>
  <si>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</si>
  <si>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</si>
  <si>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</si>
  <si>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</si>
  <si>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</si>
  <si>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</si>
  <si>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</si>
  <si>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</si>
  <si>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</si>
  <si>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</si>
  <si>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</si>
  <si>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</si>
  <si>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</si>
  <si>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</si>
  <si>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</si>
  <si>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</si>
  <si>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</si>
  <si>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</si>
  <si>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</si>
  <si>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</si>
  <si>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</si>
  <si>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</si>
  <si>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</si>
  <si>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</si>
  <si>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</si>
  <si>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</si>
  <si>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</si>
  <si>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</si>
  <si>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</si>
  <si>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</si>
  <si>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</si>
  <si>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</si>
  <si>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</si>
  <si>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</si>
  <si>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</si>
  <si>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</si>
  <si>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</si>
  <si>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</si>
  <si>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</si>
  <si>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</si>
  <si>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</si>
  <si>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</si>
  <si>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</si>
  <si>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</si>
  <si>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</si>
  <si>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</si>
  <si>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</si>
  <si>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</si>
  <si>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Cash flows from operating activities:</t>
  </si>
  <si>
    <t>Net income (loss)</t>
  </si>
  <si>
    <t>Adjustments to reconcile net income (loss) to net cash provided by operating activities:</t>
  </si>
  <si>
    <t>Stock-based compensation expense</t>
  </si>
  <si>
    <t>Amortization of deferred contract acquisition costs</t>
  </si>
  <si>
    <t>Depreciation and amortization</t>
  </si>
  <si>
    <t>Non-cash operating lease cost</t>
  </si>
  <si>
    <t>—</t>
  </si>
  <si>
    <t>Provision for accounts receivable allowances</t>
  </si>
  <si>
    <t>Other</t>
  </si>
  <si>
    <t>Changes in operating assets and liabilities:</t>
  </si>
  <si>
    <t>Accounts receivable</t>
  </si>
  <si>
    <t>Prepaid expenses and other assets</t>
  </si>
  <si>
    <t>Deferred contract acquisition costs</t>
  </si>
  <si>
    <t>Accounts payable</t>
  </si>
  <si>
    <t>Accrued expenses and other liabilities</t>
  </si>
  <si>
    <t>Deferred revenue</t>
  </si>
  <si>
    <t>Operating lease liabilities, net</t>
  </si>
  <si>
    <t>Net cash provided by operating activities</t>
  </si>
  <si>
    <t>Cash flows from investing activities:</t>
  </si>
  <si>
    <t>Purchases of marketable securities</t>
  </si>
  <si>
    <t>Maturities of marketable securities</t>
  </si>
  <si>
    <t>Purchases of property and equipment</t>
  </si>
  <si>
    <t>Purchase of equity investment</t>
  </si>
  <si>
    <t>Loans to employees</t>
  </si>
  <si>
    <t>Purchases of intangible assets</t>
  </si>
  <si>
    <t>Net cash used in investing activities</t>
  </si>
  <si>
    <t>Cash flows from financing activities:</t>
  </si>
  <si>
    <t>Proceeds from initial public offering and private placement, net of underwriting discounts and commissions and other offering costs</t>
  </si>
  <si>
    <t>Proceeds from international employee stock sales to be remitted to employees and tax authorities</t>
  </si>
  <si>
    <t>Proceeds from issuance of common stock for employee stock purchase plan</t>
  </si>
  <si>
    <t>Proceeds from exercise of stock options, net of repurchases</t>
  </si>
  <si>
    <t>Proceeds from issuance of convertible promissory notes and derivatives</t>
  </si>
  <si>
    <t>Principal payments on capital lease obligations</t>
  </si>
  <si>
    <t>Repurchase of convertible preferred stock</t>
  </si>
  <si>
    <t>Net cash provided by (used in) financing activities</t>
  </si>
  <si>
    <t>Net increase (decrease) in cash, cash equivalents, and restricted cash</t>
  </si>
  <si>
    <t>Cash, cash equivalents, and restricted cash—beginning of period</t>
  </si>
  <si>
    <t>Cash, cash equivalents, and restricted cash—end of period</t>
  </si>
  <si>
    <t>CONSOLIDATED STATEMENTS OF OPERATIONS</t>
  </si>
  <si>
    <t>Year Ended January 31,</t>
  </si>
  <si>
    <t>Cost of revenue</t>
  </si>
  <si>
    <t>Gross profit</t>
  </si>
  <si>
    <t>Operating expenses:</t>
  </si>
  <si>
    <t>Research and development</t>
  </si>
  <si>
    <t>Sales and marketing</t>
  </si>
  <si>
    <t>General and administrative</t>
  </si>
  <si>
    <t>Total operating expenses</t>
  </si>
  <si>
    <t>Income (loss) from operations</t>
  </si>
  <si>
    <t>Interest income and other, net</t>
  </si>
  <si>
    <t>Net income (loss) before provision for income taxes</t>
  </si>
  <si>
    <t>Provision for income taxes</t>
  </si>
  <si>
    <t>Distributed earnings attributable to participating securities</t>
  </si>
  <si>
    <t>Undistributed earnings attributable to participating securities</t>
  </si>
  <si>
    <t>Net income (loss) attributable to common stockholders</t>
  </si>
  <si>
    <t>$—</t>
  </si>
  <si>
    <t>Net income (loss) per share attributable to common stockholders:</t>
  </si>
  <si>
    <t>Basic</t>
  </si>
  <si>
    <t>Diluted</t>
  </si>
  <si>
    <t>Weighted-average shares used in computing net income (loss) per share attributable to common stockholders:</t>
  </si>
  <si>
    <t>Income from operations</t>
  </si>
  <si>
    <t>(Losses) gains on strategic investments, net</t>
  </si>
  <si>
    <t>Other income (expense), net</t>
  </si>
  <si>
    <t>Income before provision for (benefit from) income taxes</t>
  </si>
  <si>
    <t>Provision for (benefit from) income taxes</t>
  </si>
  <si>
    <t>Net income attributable to common stockholders</t>
  </si>
  <si>
    <t>Net income per share attributable to common stockholders:</t>
  </si>
  <si>
    <t>Weighted-average shares used in computing net income per share attributable to common stockholders:</t>
  </si>
  <si>
    <t>CONSOLIDATED STATEMENTS OF CASH FLOWS</t>
  </si>
  <si>
    <t>Adjustments to reconcile net income to net cash provided by operating activities:</t>
  </si>
  <si>
    <t>Deferred income taxes</t>
  </si>
  <si>
    <t>Losses (gains) on strategic investments, net</t>
  </si>
  <si>
    <t>Charitable donation of common stock</t>
  </si>
  <si>
    <t>Amortization of discount/premium on marketable securities</t>
  </si>
  <si>
    <t>Sales of marketable securities</t>
  </si>
  <si>
    <t>Purchases of strategic investments</t>
  </si>
  <si>
    <t>Cash paid for acquisition, net of cash acquired</t>
  </si>
  <si>
    <t>Cash paid for repurchases of common stock</t>
  </si>
  <si>
    <t>Proceeds from exercise of stock options</t>
  </si>
  <si>
    <t>Proceeds from employee equity transactions to be remitted (remitted) to employees and tax authorities, net</t>
  </si>
  <si>
    <t>Proceeds from follow-on public offering, net of underwriting discounts and commissions and other offering costs</t>
  </si>
  <si>
    <t>Net cash (used in) provided by financing activities</t>
  </si>
  <si>
    <t>Effect of exchange rate changes on cash, cash equivalents, and restricted cash</t>
  </si>
  <si>
    <t>Cash, cash equivalents, and restricted cash—beginning of year</t>
  </si>
  <si>
    <t>Cash, cash equivalents, and restricted cash—end of year</t>
  </si>
  <si>
    <t>Zoom Video Communications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</si>
</sst>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0000%"/>
    <numFmt numFmtId="166" formatCode="&quot;($&quot;#,##0_);[Red]&quot;($&quot;#,##0\)"/>
    <numFmt numFmtId="167" formatCode="_(\$* #,##0_);_(\$* \(#,##0\);_(\$* \-_);_(@_)"/>
    <numFmt numFmtId="168" formatCode="\(#,##0_);[Red]\(#,##0\)"/>
    <numFmt numFmtId="169" formatCode="&quot;($&quot;#,##0.00_);[Red]&quot;($&quot;#,##0.00\)"/>
    <numFmt numFmtId="170" formatCode="_(\$* #,##0.00_);_(\$* \(#,##0.00\);_(\$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0" fontId="10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7" fontId="10" fillId="0" borderId="0" xfId="0" applyNumberFormat="1" applyFont="1"/>
    <xf numFmtId="3" fontId="10" fillId="0" borderId="0" xfId="0" applyNumberFormat="1" applyFont="1"/>
    <xf numFmtId="168" fontId="10" fillId="0" borderId="0" xfId="0" applyNumberFormat="1" applyFont="1"/>
    <xf numFmtId="170" fontId="10" fillId="0" borderId="0" xfId="0" applyNumberFormat="1" applyFont="1"/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0" fillId="0" borderId="0" xfId="0"/>
    <xf numFmtId="0" fontId="10" fillId="0" borderId="0" xfId="0" applyFont="1"/>
    <xf numFmtId="0" fontId="7" fillId="5" borderId="0" xfId="0" applyFont="1" applyFill="1"/>
    <xf numFmtId="164" fontId="7" fillId="5" borderId="0" xfId="1" applyNumberFormat="1" applyFont="1" applyFill="1"/>
    <xf numFmtId="0" fontId="11" fillId="5" borderId="0" xfId="0" applyFont="1" applyFill="1"/>
    <xf numFmtId="164" fontId="11" fillId="5" borderId="0" xfId="1" applyNumberFormat="1" applyFont="1" applyFill="1"/>
    <xf numFmtId="164" fontId="11" fillId="5" borderId="4" xfId="0" applyNumberFormat="1" applyFont="1" applyFill="1" applyBorder="1"/>
    <xf numFmtId="164" fontId="11" fillId="5" borderId="0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0" fontId="2" fillId="4" borderId="0" xfId="0" applyFont="1" applyFill="1" applyBorder="1"/>
    <xf numFmtId="1" fontId="0" fillId="2" borderId="4" xfId="0" applyNumberFormat="1" applyFont="1" applyFill="1" applyBorder="1"/>
    <xf numFmtId="1" fontId="0" fillId="2" borderId="0" xfId="0" applyNumberFormat="1" applyFont="1" applyFill="1" applyBorder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3" fontId="0" fillId="2" borderId="4" xfId="0" applyNumberFormat="1" applyFont="1" applyFill="1" applyBorder="1"/>
    <xf numFmtId="3" fontId="0" fillId="2" borderId="0" xfId="0" applyNumberFormat="1" applyFont="1" applyFill="1" applyBorder="1"/>
    <xf numFmtId="164" fontId="11" fillId="2" borderId="4" xfId="1" applyNumberFormat="1" applyFont="1" applyFill="1" applyBorder="1"/>
    <xf numFmtId="164" fontId="11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1" fillId="5" borderId="4" xfId="0" applyNumberFormat="1" applyFont="1" applyFill="1" applyBorder="1"/>
    <xf numFmtId="10" fontId="11" fillId="5" borderId="0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164" fontId="0" fillId="5" borderId="4" xfId="0" applyNumberFormat="1" applyFont="1" applyFill="1" applyBorder="1"/>
    <xf numFmtId="164" fontId="0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topLeftCell="A49" workbookViewId="0">
      <selection activeCell="K52" sqref="K52"/>
    </sheetView>
  </sheetViews>
  <sheetFormatPr defaultRowHeight="15" x14ac:dyDescent="0.25"/>
  <cols>
    <col min="1" max="1" width="7.7109375" style="2" customWidth="1"/>
    <col min="2" max="2" width="17.140625" style="2" customWidth="1"/>
    <col min="3" max="6" width="9.140625" style="2"/>
    <col min="7" max="8" width="10.28515625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7.9638160198681168E-2</v>
      </c>
      <c r="G5" s="1"/>
      <c r="H5" s="1" t="s">
        <v>2</v>
      </c>
      <c r="I5" s="1"/>
      <c r="J5" s="7">
        <v>73.349999999999994</v>
      </c>
      <c r="K5" s="1"/>
      <c r="L5" s="1" t="s">
        <v>3</v>
      </c>
      <c r="M5" s="1"/>
      <c r="N5" s="62">
        <f>(J6/J5)-1</f>
        <v>-2.7509618114485934E-2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4">
        <f>D71</f>
        <v>71.332169511302453</v>
      </c>
      <c r="K6" s="1"/>
      <c r="L6" s="1" t="s">
        <v>53</v>
      </c>
      <c r="M6" s="1"/>
      <c r="N6" s="61">
        <v>45062</v>
      </c>
      <c r="O6" s="1"/>
      <c r="P6" s="1"/>
      <c r="Q6" s="1"/>
    </row>
    <row r="7" spans="1:86" x14ac:dyDescent="0.25">
      <c r="B7" s="61"/>
      <c r="C7" s="1"/>
      <c r="D7" s="1"/>
      <c r="E7" s="9"/>
      <c r="F7" s="1"/>
      <c r="G7" s="1"/>
      <c r="H7" s="1"/>
      <c r="I7" s="1"/>
      <c r="J7" s="1"/>
      <c r="K7" s="1"/>
      <c r="L7" s="53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86">
        <v>2023</v>
      </c>
      <c r="J10" s="87">
        <v>2024</v>
      </c>
      <c r="K10" s="87">
        <v>2025</v>
      </c>
      <c r="L10" s="87">
        <v>2026</v>
      </c>
      <c r="M10" s="87">
        <v>2027</v>
      </c>
      <c r="N10" s="87">
        <v>2028</v>
      </c>
      <c r="O10" s="87">
        <v>2029</v>
      </c>
      <c r="P10" s="87">
        <v>2030</v>
      </c>
      <c r="Q10" s="87">
        <v>2031</v>
      </c>
      <c r="R10" s="87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Sheet1!G6</f>
        <v>151478</v>
      </c>
      <c r="D11" s="12">
        <f>Sheet1!H6</f>
        <v>330517</v>
      </c>
      <c r="E11" s="12">
        <f>Sheet1!I6</f>
        <v>622658</v>
      </c>
      <c r="F11" s="12">
        <f>Sheet1!O6</f>
        <v>2651368</v>
      </c>
      <c r="G11" s="12">
        <f>Sheet1!P6</f>
        <v>4099864</v>
      </c>
      <c r="H11" s="12">
        <f>Sheet1!Q6</f>
        <v>4392960</v>
      </c>
      <c r="I11" s="88">
        <f>H11*(1+I12)</f>
        <v>4480000</v>
      </c>
      <c r="J11" s="89">
        <f t="shared" ref="J11:R11" si="1">I11*(1+J12)</f>
        <v>4700000</v>
      </c>
      <c r="K11" s="89">
        <f t="shared" si="1"/>
        <v>4960000</v>
      </c>
      <c r="L11" s="89">
        <f t="shared" si="1"/>
        <v>5550000</v>
      </c>
      <c r="M11" s="89">
        <f t="shared" si="1"/>
        <v>5980000.0000000009</v>
      </c>
      <c r="N11" s="89">
        <f t="shared" si="1"/>
        <v>6450000.0000000009</v>
      </c>
      <c r="O11" s="89">
        <f t="shared" si="1"/>
        <v>6950000</v>
      </c>
      <c r="P11" s="89">
        <f t="shared" si="1"/>
        <v>8030000.0000000009</v>
      </c>
      <c r="Q11" s="89">
        <f t="shared" si="1"/>
        <v>8700000</v>
      </c>
      <c r="R11" s="89">
        <f t="shared" si="1"/>
        <v>9400000</v>
      </c>
    </row>
    <row r="12" spans="1:86" x14ac:dyDescent="0.25">
      <c r="A12" s="1"/>
      <c r="B12" s="79" t="s">
        <v>8</v>
      </c>
      <c r="C12" s="80"/>
      <c r="D12" s="80">
        <f>(D11/C11)-1</f>
        <v>1.1819472134567395</v>
      </c>
      <c r="E12" s="80">
        <f>(E11/D11)-1</f>
        <v>0.88389099501689783</v>
      </c>
      <c r="F12" s="80">
        <f>(F11/E11)-1</f>
        <v>3.2581449206466475</v>
      </c>
      <c r="G12" s="80">
        <f>(G11/F11)-1</f>
        <v>0.54632023921236139</v>
      </c>
      <c r="H12" s="80">
        <f>(H11/G11)-1</f>
        <v>7.1489200617386395E-2</v>
      </c>
      <c r="I12" s="90">
        <v>1.9813519813519864E-2</v>
      </c>
      <c r="J12" s="91">
        <v>4.9107142857142794E-2</v>
      </c>
      <c r="K12" s="91">
        <v>5.5319148936170182E-2</v>
      </c>
      <c r="L12" s="91">
        <v>0.11895161290322576</v>
      </c>
      <c r="M12" s="91">
        <v>7.7477477477477574E-2</v>
      </c>
      <c r="N12" s="91">
        <v>7.8595317725752567E-2</v>
      </c>
      <c r="O12" s="91">
        <v>7.7519379844961156E-2</v>
      </c>
      <c r="P12" s="91">
        <v>0.15539568345323751</v>
      </c>
      <c r="Q12" s="91">
        <v>8.3437110834370998E-2</v>
      </c>
      <c r="R12" s="91">
        <v>8.0459770114942541E-2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92"/>
      <c r="J13" s="93"/>
      <c r="K13" s="93"/>
      <c r="L13" s="93"/>
      <c r="M13" s="93"/>
      <c r="N13" s="93"/>
      <c r="O13" s="93"/>
      <c r="P13" s="93"/>
      <c r="Q13" s="93"/>
      <c r="R13" s="93"/>
    </row>
    <row r="14" spans="1:86" x14ac:dyDescent="0.25">
      <c r="A14" s="1"/>
      <c r="B14" s="1" t="s">
        <v>9</v>
      </c>
      <c r="C14" s="12">
        <f>Sheet1!G7</f>
        <v>30780</v>
      </c>
      <c r="D14" s="12">
        <f>Sheet1!H7</f>
        <v>61001</v>
      </c>
      <c r="E14" s="12">
        <f>Sheet1!I7</f>
        <v>115396</v>
      </c>
      <c r="F14" s="12">
        <f>Sheet1!O7</f>
        <v>821989</v>
      </c>
      <c r="G14" s="12">
        <f>Sheet1!P7</f>
        <v>1054554</v>
      </c>
      <c r="H14" s="12">
        <f>Sheet1!Q7</f>
        <v>1100451</v>
      </c>
      <c r="I14" s="94">
        <f>I11-I16</f>
        <v>945280</v>
      </c>
      <c r="J14" s="95">
        <f t="shared" ref="J14:K14" si="2">J11-J16</f>
        <v>997810</v>
      </c>
      <c r="K14" s="95">
        <f t="shared" si="2"/>
        <v>1048544</v>
      </c>
      <c r="L14" s="95">
        <f t="shared" ref="L14:R14" si="3">L11-L16</f>
        <v>1204350</v>
      </c>
      <c r="M14" s="95">
        <f t="shared" si="3"/>
        <v>1294670</v>
      </c>
      <c r="N14" s="95">
        <f t="shared" si="3"/>
        <v>1377075</v>
      </c>
      <c r="O14" s="95">
        <f t="shared" si="3"/>
        <v>1462975</v>
      </c>
      <c r="P14" s="95">
        <f t="shared" si="3"/>
        <v>1666225</v>
      </c>
      <c r="Q14" s="95">
        <f t="shared" si="3"/>
        <v>1783500</v>
      </c>
      <c r="R14" s="95">
        <f t="shared" si="3"/>
        <v>1903500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92"/>
      <c r="J15" s="93"/>
      <c r="K15" s="93"/>
      <c r="L15" s="93"/>
      <c r="M15" s="93"/>
      <c r="N15" s="93"/>
      <c r="O15" s="93"/>
      <c r="P15" s="93"/>
      <c r="Q15" s="93"/>
      <c r="R15" s="93"/>
    </row>
    <row r="16" spans="1:86" x14ac:dyDescent="0.25">
      <c r="A16" s="1"/>
      <c r="B16" s="1" t="s">
        <v>10</v>
      </c>
      <c r="C16" s="12">
        <f t="shared" ref="C16:H16" si="4">C11-C14</f>
        <v>120698</v>
      </c>
      <c r="D16" s="12">
        <f t="shared" si="4"/>
        <v>269516</v>
      </c>
      <c r="E16" s="12">
        <f t="shared" si="4"/>
        <v>507262</v>
      </c>
      <c r="F16" s="12">
        <f t="shared" si="4"/>
        <v>1829379</v>
      </c>
      <c r="G16" s="12">
        <f t="shared" si="4"/>
        <v>3045310</v>
      </c>
      <c r="H16" s="12">
        <f t="shared" si="4"/>
        <v>3292509</v>
      </c>
      <c r="I16" s="88">
        <f>I11*I17</f>
        <v>3534720</v>
      </c>
      <c r="J16" s="89">
        <f t="shared" ref="J16:R16" si="5">J11*J17</f>
        <v>3702190</v>
      </c>
      <c r="K16" s="89">
        <f t="shared" si="5"/>
        <v>3911456</v>
      </c>
      <c r="L16" s="89">
        <f t="shared" si="5"/>
        <v>4345650</v>
      </c>
      <c r="M16" s="89">
        <f t="shared" si="5"/>
        <v>4685330.0000000009</v>
      </c>
      <c r="N16" s="89">
        <f t="shared" si="5"/>
        <v>5072925.0000000009</v>
      </c>
      <c r="O16" s="89">
        <f t="shared" si="5"/>
        <v>5487025</v>
      </c>
      <c r="P16" s="89">
        <f t="shared" si="5"/>
        <v>6363775.0000000009</v>
      </c>
      <c r="Q16" s="89">
        <f t="shared" si="5"/>
        <v>6916500</v>
      </c>
      <c r="R16" s="89">
        <f t="shared" si="5"/>
        <v>7496500</v>
      </c>
    </row>
    <row r="17" spans="1:18" x14ac:dyDescent="0.25">
      <c r="A17" s="1"/>
      <c r="B17" s="81" t="s">
        <v>11</v>
      </c>
      <c r="C17" s="82">
        <f t="shared" ref="C17:H17" si="6">C16/C11</f>
        <v>0.79680217589352909</v>
      </c>
      <c r="D17" s="82">
        <f t="shared" si="6"/>
        <v>0.81543763255747814</v>
      </c>
      <c r="E17" s="82">
        <f t="shared" si="6"/>
        <v>0.81467193868865417</v>
      </c>
      <c r="F17" s="82">
        <f t="shared" si="6"/>
        <v>0.68997551452684047</v>
      </c>
      <c r="G17" s="82">
        <f t="shared" si="6"/>
        <v>0.74278317524678872</v>
      </c>
      <c r="H17" s="82">
        <f t="shared" si="6"/>
        <v>0.74949669471153846</v>
      </c>
      <c r="I17" s="83">
        <v>0.78900000000000003</v>
      </c>
      <c r="J17" s="84">
        <v>0.78769999999999996</v>
      </c>
      <c r="K17" s="84">
        <v>0.78859999999999997</v>
      </c>
      <c r="L17" s="84">
        <v>0.78300000000000003</v>
      </c>
      <c r="M17" s="84">
        <v>0.78349999999999997</v>
      </c>
      <c r="N17" s="84">
        <v>0.78649999999999998</v>
      </c>
      <c r="O17" s="84">
        <v>0.78949999999999998</v>
      </c>
      <c r="P17" s="84">
        <v>0.79249999999999998</v>
      </c>
      <c r="Q17" s="84">
        <v>0.79500000000000004</v>
      </c>
      <c r="R17" s="84">
        <v>0.79749999999999999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92"/>
      <c r="J18" s="93"/>
      <c r="K18" s="93"/>
      <c r="L18" s="93"/>
      <c r="M18" s="93"/>
      <c r="N18" s="93"/>
      <c r="O18" s="93"/>
      <c r="P18" s="93"/>
      <c r="Q18" s="93"/>
      <c r="R18" s="93"/>
    </row>
    <row r="19" spans="1:18" x14ac:dyDescent="0.25">
      <c r="A19" s="1"/>
      <c r="B19" s="1" t="s">
        <v>12</v>
      </c>
      <c r="C19" s="12">
        <f>Sheet1!G10</f>
        <v>15733</v>
      </c>
      <c r="D19" s="12">
        <f>Sheet1!H10</f>
        <v>33014</v>
      </c>
      <c r="E19" s="12">
        <f>Sheet1!I10</f>
        <v>67079</v>
      </c>
      <c r="F19" s="12">
        <f>Sheet1!O10</f>
        <v>164080</v>
      </c>
      <c r="G19" s="12">
        <f>Sheet1!P10</f>
        <v>362990</v>
      </c>
      <c r="H19" s="12">
        <f>Sheet1!Q10</f>
        <v>774059</v>
      </c>
      <c r="I19" s="88">
        <f>I20*I11</f>
        <v>828695.63152186247</v>
      </c>
      <c r="J19" s="89">
        <f t="shared" ref="J19:R19" si="7">J20*J11</f>
        <v>827684.51037924027</v>
      </c>
      <c r="K19" s="89">
        <f t="shared" si="7"/>
        <v>836082.49332513183</v>
      </c>
      <c r="L19" s="89">
        <f t="shared" si="7"/>
        <v>912583.41292319191</v>
      </c>
      <c r="M19" s="89">
        <f t="shared" si="7"/>
        <v>956716.89890102448</v>
      </c>
      <c r="N19" s="89">
        <f t="shared" si="7"/>
        <v>1018585.0503022566</v>
      </c>
      <c r="O19" s="89">
        <f t="shared" si="7"/>
        <v>1085382.0615064257</v>
      </c>
      <c r="P19" s="89">
        <f t="shared" si="7"/>
        <v>1282487.2754325455</v>
      </c>
      <c r="Q19" s="89">
        <f t="shared" si="7"/>
        <v>1364929.3023156596</v>
      </c>
      <c r="R19" s="89">
        <f t="shared" si="7"/>
        <v>1454329.3919096314</v>
      </c>
    </row>
    <row r="20" spans="1:18" x14ac:dyDescent="0.25">
      <c r="A20" s="1"/>
      <c r="B20" s="79" t="s">
        <v>18</v>
      </c>
      <c r="C20" s="80">
        <f t="shared" ref="C20:H20" si="8">C19/C11</f>
        <v>0.10386326727313537</v>
      </c>
      <c r="D20" s="80">
        <f t="shared" si="8"/>
        <v>9.9885936275592474E-2</v>
      </c>
      <c r="E20" s="80">
        <f t="shared" si="8"/>
        <v>0.10773008617892968</v>
      </c>
      <c r="F20" s="80">
        <f t="shared" si="8"/>
        <v>6.188503444259718E-2</v>
      </c>
      <c r="G20" s="80">
        <f t="shared" si="8"/>
        <v>8.8537083181295773E-2</v>
      </c>
      <c r="H20" s="80">
        <f t="shared" si="8"/>
        <v>0.17620442708333334</v>
      </c>
      <c r="I20" s="90">
        <v>0.18497670346470144</v>
      </c>
      <c r="J20" s="91">
        <v>0.17610308731473198</v>
      </c>
      <c r="K20" s="91">
        <v>0.16856501881555078</v>
      </c>
      <c r="L20" s="91">
        <v>0.16442944376994448</v>
      </c>
      <c r="M20" s="91">
        <v>0.15998610349515457</v>
      </c>
      <c r="N20" s="91">
        <v>0.15792016283755914</v>
      </c>
      <c r="O20" s="91">
        <v>0.15617008079229147</v>
      </c>
      <c r="P20" s="91">
        <v>0.15971198946856105</v>
      </c>
      <c r="Q20" s="91">
        <v>0.15688842555352409</v>
      </c>
      <c r="R20" s="91">
        <v>0.15471589275634376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88"/>
      <c r="J21" s="89"/>
      <c r="K21" s="89"/>
      <c r="L21" s="89"/>
      <c r="M21" s="89"/>
      <c r="N21" s="89"/>
      <c r="O21" s="89"/>
      <c r="P21" s="89"/>
      <c r="Q21" s="89"/>
      <c r="R21" s="89"/>
    </row>
    <row r="22" spans="1:18" x14ac:dyDescent="0.25">
      <c r="A22" s="1"/>
      <c r="B22" s="1" t="s">
        <v>54</v>
      </c>
      <c r="C22" s="12">
        <f>Sheet1!G11</f>
        <v>82707</v>
      </c>
      <c r="D22" s="12">
        <f>Sheet1!H11</f>
        <v>185821</v>
      </c>
      <c r="E22" s="12">
        <f>Sheet1!I11</f>
        <v>340646</v>
      </c>
      <c r="F22" s="12">
        <f>Sheet1!O11</f>
        <v>684904</v>
      </c>
      <c r="G22" s="12">
        <f>Sheet1!P11</f>
        <v>1135959</v>
      </c>
      <c r="H22" s="12">
        <f>Sheet1!Q11</f>
        <v>1696590</v>
      </c>
      <c r="I22" s="88">
        <f>I23*I11</f>
        <v>1816343.0972105188</v>
      </c>
      <c r="J22" s="89">
        <f t="shared" ref="J22:R22" si="9">J23*J11</f>
        <v>1814126.912114342</v>
      </c>
      <c r="K22" s="89">
        <f t="shared" si="9"/>
        <v>1832533.6923289895</v>
      </c>
      <c r="L22" s="89">
        <f t="shared" si="9"/>
        <v>2000209.1475344363</v>
      </c>
      <c r="M22" s="89">
        <f t="shared" si="9"/>
        <v>2096941.3487944577</v>
      </c>
      <c r="N22" s="89">
        <f t="shared" si="9"/>
        <v>2232544.5611927588</v>
      </c>
      <c r="O22" s="89">
        <f t="shared" si="9"/>
        <v>2378950.8961606119</v>
      </c>
      <c r="P22" s="89">
        <f t="shared" si="9"/>
        <v>2810968.0097074024</v>
      </c>
      <c r="Q22" s="89">
        <f t="shared" si="9"/>
        <v>2991665.2413003724</v>
      </c>
      <c r="R22" s="89">
        <f t="shared" si="9"/>
        <v>3187613.2220153264</v>
      </c>
    </row>
    <row r="23" spans="1:18" x14ac:dyDescent="0.25">
      <c r="A23" s="1"/>
      <c r="B23" s="79" t="s">
        <v>18</v>
      </c>
      <c r="C23" s="80">
        <f t="shared" ref="C23:H23" si="10">C22/C11</f>
        <v>0.54600007921942462</v>
      </c>
      <c r="D23" s="80">
        <f t="shared" si="10"/>
        <v>0.56221313880980406</v>
      </c>
      <c r="E23" s="80">
        <f t="shared" si="10"/>
        <v>0.54708363178502484</v>
      </c>
      <c r="F23" s="80">
        <f t="shared" si="10"/>
        <v>0.25832098750531801</v>
      </c>
      <c r="G23" s="80">
        <f t="shared" si="10"/>
        <v>0.27707236142467162</v>
      </c>
      <c r="H23" s="80">
        <f t="shared" si="10"/>
        <v>0.38620656687062938</v>
      </c>
      <c r="I23" s="90">
        <v>0.40543372705591935</v>
      </c>
      <c r="J23" s="91">
        <v>0.38598444938603022</v>
      </c>
      <c r="K23" s="91">
        <v>0.36946243796955436</v>
      </c>
      <c r="L23" s="91">
        <v>0.36039804460079933</v>
      </c>
      <c r="M23" s="91">
        <v>0.35065908842716681</v>
      </c>
      <c r="N23" s="91">
        <v>0.34613093971980752</v>
      </c>
      <c r="O23" s="91">
        <v>0.3422950929727499</v>
      </c>
      <c r="P23" s="91">
        <v>0.35005828265347472</v>
      </c>
      <c r="Q23" s="91">
        <v>0.34386956796556006</v>
      </c>
      <c r="R23" s="91">
        <v>0.33910778957609855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88"/>
      <c r="J24" s="89"/>
      <c r="K24" s="89"/>
      <c r="L24" s="89"/>
      <c r="M24" s="89"/>
      <c r="N24" s="89"/>
      <c r="O24" s="89"/>
      <c r="P24" s="89"/>
      <c r="Q24" s="89"/>
      <c r="R24" s="89"/>
    </row>
    <row r="25" spans="1:18" x14ac:dyDescent="0.25">
      <c r="A25" s="1"/>
      <c r="B25" s="1" t="s">
        <v>55</v>
      </c>
      <c r="C25" s="12">
        <f>Sheet1!G12</f>
        <v>27091</v>
      </c>
      <c r="D25" s="12">
        <f>Sheet1!H12</f>
        <v>44514</v>
      </c>
      <c r="E25" s="12">
        <f>Sheet1!I12</f>
        <v>86841</v>
      </c>
      <c r="F25" s="12">
        <f>Sheet1!O12</f>
        <v>320547</v>
      </c>
      <c r="G25" s="12">
        <f>Sheet1!P12</f>
        <v>482770</v>
      </c>
      <c r="H25" s="12">
        <f>Sheet1!Q12</f>
        <v>576431</v>
      </c>
      <c r="I25" s="96">
        <f>I26*I11</f>
        <v>617118.14160649094</v>
      </c>
      <c r="J25" s="97">
        <f t="shared" ref="J25:R25" si="11">J26*J11</f>
        <v>616365.17371726944</v>
      </c>
      <c r="K25" s="97">
        <f t="shared" si="11"/>
        <v>622619.03512509901</v>
      </c>
      <c r="L25" s="97">
        <f t="shared" si="11"/>
        <v>679588.20877314056</v>
      </c>
      <c r="M25" s="97">
        <f t="shared" si="11"/>
        <v>712453.80358656961</v>
      </c>
      <c r="N25" s="97">
        <f t="shared" si="11"/>
        <v>758526.15773575415</v>
      </c>
      <c r="O25" s="97">
        <f t="shared" si="11"/>
        <v>808268.96540988539</v>
      </c>
      <c r="P25" s="97">
        <f t="shared" si="11"/>
        <v>955050.48409082193</v>
      </c>
      <c r="Q25" s="97">
        <f t="shared" si="11"/>
        <v>1016443.9179224296</v>
      </c>
      <c r="R25" s="97">
        <f t="shared" si="11"/>
        <v>1083018.9245365802</v>
      </c>
    </row>
    <row r="26" spans="1:18" x14ac:dyDescent="0.25">
      <c r="A26" s="1"/>
      <c r="B26" s="79" t="s">
        <v>18</v>
      </c>
      <c r="C26" s="80">
        <f t="shared" ref="C26:H26" si="12">C25/C11</f>
        <v>0.17884445265979218</v>
      </c>
      <c r="D26" s="80">
        <f t="shared" si="12"/>
        <v>0.13467991056435827</v>
      </c>
      <c r="E26" s="80">
        <f t="shared" si="12"/>
        <v>0.13946821529635853</v>
      </c>
      <c r="F26" s="80">
        <f t="shared" si="12"/>
        <v>0.12089872096215991</v>
      </c>
      <c r="G26" s="80">
        <f t="shared" si="12"/>
        <v>0.11775268643057428</v>
      </c>
      <c r="H26" s="80">
        <f t="shared" si="12"/>
        <v>0.13121699264277389</v>
      </c>
      <c r="I26" s="90">
        <v>0.13774958518002031</v>
      </c>
      <c r="J26" s="91">
        <v>0.13114152632282328</v>
      </c>
      <c r="K26" s="91">
        <v>0.12552803127522158</v>
      </c>
      <c r="L26" s="91">
        <v>0.12244832590507038</v>
      </c>
      <c r="M26" s="91">
        <v>0.11913943203788788</v>
      </c>
      <c r="N26" s="91">
        <v>0.11760095468771381</v>
      </c>
      <c r="O26" s="91">
        <v>0.11629769286473171</v>
      </c>
      <c r="P26" s="91">
        <v>0.11893530312463535</v>
      </c>
      <c r="Q26" s="91">
        <v>0.11683263424395743</v>
      </c>
      <c r="R26" s="91">
        <v>0.11521477920601918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96"/>
      <c r="J27" s="97"/>
      <c r="K27" s="97"/>
      <c r="L27" s="97"/>
      <c r="M27" s="97"/>
      <c r="N27" s="97"/>
      <c r="O27" s="97"/>
      <c r="P27" s="97"/>
      <c r="Q27" s="97"/>
      <c r="R27" s="97"/>
    </row>
    <row r="28" spans="1:18" x14ac:dyDescent="0.25">
      <c r="A28" s="1"/>
      <c r="B28" s="1" t="s">
        <v>66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96">
        <f t="shared" ref="I28:R28" si="13">I29*I11</f>
        <v>0</v>
      </c>
      <c r="J28" s="97">
        <f t="shared" si="13"/>
        <v>0</v>
      </c>
      <c r="K28" s="97">
        <f t="shared" si="13"/>
        <v>0</v>
      </c>
      <c r="L28" s="97">
        <f t="shared" si="13"/>
        <v>0</v>
      </c>
      <c r="M28" s="97">
        <f t="shared" si="13"/>
        <v>0</v>
      </c>
      <c r="N28" s="97">
        <f t="shared" si="13"/>
        <v>0</v>
      </c>
      <c r="O28" s="97">
        <f t="shared" si="13"/>
        <v>0</v>
      </c>
      <c r="P28" s="97">
        <f t="shared" si="13"/>
        <v>0</v>
      </c>
      <c r="Q28" s="97">
        <f t="shared" si="13"/>
        <v>0</v>
      </c>
      <c r="R28" s="97">
        <f t="shared" si="13"/>
        <v>0</v>
      </c>
    </row>
    <row r="29" spans="1:18" x14ac:dyDescent="0.25">
      <c r="A29" s="1"/>
      <c r="B29" s="79" t="s">
        <v>18</v>
      </c>
      <c r="C29" s="80">
        <f t="shared" ref="C29:H29" si="14">C28/C11</f>
        <v>0</v>
      </c>
      <c r="D29" s="80">
        <f t="shared" si="14"/>
        <v>0</v>
      </c>
      <c r="E29" s="80">
        <f t="shared" si="14"/>
        <v>0</v>
      </c>
      <c r="F29" s="80">
        <f t="shared" si="14"/>
        <v>0</v>
      </c>
      <c r="G29" s="80">
        <f t="shared" si="14"/>
        <v>0</v>
      </c>
      <c r="H29" s="80">
        <f t="shared" si="14"/>
        <v>0</v>
      </c>
      <c r="I29" s="90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96"/>
      <c r="J30" s="97"/>
      <c r="K30" s="97"/>
      <c r="L30" s="97"/>
      <c r="M30" s="97"/>
      <c r="N30" s="97"/>
      <c r="O30" s="97"/>
      <c r="P30" s="97"/>
      <c r="Q30" s="97"/>
      <c r="R30" s="97"/>
    </row>
    <row r="31" spans="1:18" x14ac:dyDescent="0.25">
      <c r="A31" s="1"/>
      <c r="B31" s="1" t="s">
        <v>13</v>
      </c>
      <c r="C31" s="12">
        <f>C19+C22+C25+C28</f>
        <v>125531</v>
      </c>
      <c r="D31" s="12">
        <f t="shared" ref="D31:R31" si="15">D19+D22+D25+D28</f>
        <v>263349</v>
      </c>
      <c r="E31" s="12">
        <f t="shared" si="15"/>
        <v>494566</v>
      </c>
      <c r="F31" s="12">
        <f t="shared" si="15"/>
        <v>1169531</v>
      </c>
      <c r="G31" s="12">
        <f t="shared" si="15"/>
        <v>1981719</v>
      </c>
      <c r="H31" s="12">
        <f t="shared" si="15"/>
        <v>3047080</v>
      </c>
      <c r="I31" s="96">
        <f t="shared" si="15"/>
        <v>3262156.8703388721</v>
      </c>
      <c r="J31" s="97">
        <f t="shared" si="15"/>
        <v>3258176.5962108513</v>
      </c>
      <c r="K31" s="97">
        <f t="shared" si="15"/>
        <v>3291235.2207792206</v>
      </c>
      <c r="L31" s="97">
        <f t="shared" si="15"/>
        <v>3592380.769230769</v>
      </c>
      <c r="M31" s="97">
        <f t="shared" si="15"/>
        <v>3766112.051282052</v>
      </c>
      <c r="N31" s="97">
        <f t="shared" si="15"/>
        <v>4009655.7692307695</v>
      </c>
      <c r="O31" s="97">
        <f t="shared" si="15"/>
        <v>4272601.923076923</v>
      </c>
      <c r="P31" s="97">
        <f t="shared" si="15"/>
        <v>5048505.7692307699</v>
      </c>
      <c r="Q31" s="97">
        <f t="shared" si="15"/>
        <v>5373038.461538462</v>
      </c>
      <c r="R31" s="97">
        <f t="shared" si="15"/>
        <v>5724961.538461538</v>
      </c>
    </row>
    <row r="32" spans="1:18" x14ac:dyDescent="0.25">
      <c r="A32" s="1"/>
      <c r="B32" s="79" t="s">
        <v>18</v>
      </c>
      <c r="C32" s="80">
        <f t="shared" ref="C32:R32" si="16">C31/C11</f>
        <v>0.82870779915235215</v>
      </c>
      <c r="D32" s="80">
        <f t="shared" si="16"/>
        <v>0.7967789856497548</v>
      </c>
      <c r="E32" s="80">
        <f t="shared" si="16"/>
        <v>0.79428193326031304</v>
      </c>
      <c r="F32" s="80">
        <f t="shared" si="16"/>
        <v>0.44110474291007512</v>
      </c>
      <c r="G32" s="80">
        <f t="shared" si="16"/>
        <v>0.48336213103654169</v>
      </c>
      <c r="H32" s="80">
        <f t="shared" si="16"/>
        <v>0.69362798659673663</v>
      </c>
      <c r="I32" s="90">
        <f t="shared" si="16"/>
        <v>0.72816001570064104</v>
      </c>
      <c r="J32" s="91">
        <f t="shared" si="16"/>
        <v>0.69322906302358545</v>
      </c>
      <c r="K32" s="91">
        <f t="shared" si="16"/>
        <v>0.66355548806032671</v>
      </c>
      <c r="L32" s="91">
        <f t="shared" si="16"/>
        <v>0.64727581427581427</v>
      </c>
      <c r="M32" s="91">
        <f t="shared" si="16"/>
        <v>0.62978462396020929</v>
      </c>
      <c r="N32" s="91">
        <f t="shared" si="16"/>
        <v>0.62165205724508044</v>
      </c>
      <c r="O32" s="91">
        <f t="shared" si="16"/>
        <v>0.61476286662977309</v>
      </c>
      <c r="P32" s="91">
        <f t="shared" si="16"/>
        <v>0.62870557524667114</v>
      </c>
      <c r="Q32" s="91">
        <f t="shared" si="16"/>
        <v>0.61759062776304163</v>
      </c>
      <c r="R32" s="91">
        <f t="shared" si="16"/>
        <v>0.60903846153846153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98"/>
      <c r="J33" s="99"/>
      <c r="K33" s="99"/>
      <c r="L33" s="99"/>
      <c r="M33" s="99"/>
      <c r="N33" s="99"/>
      <c r="O33" s="99"/>
      <c r="P33" s="99"/>
      <c r="Q33" s="99"/>
      <c r="R33" s="99"/>
    </row>
    <row r="34" spans="1:86" x14ac:dyDescent="0.25">
      <c r="A34" s="1"/>
      <c r="B34" s="1" t="s">
        <v>14</v>
      </c>
      <c r="C34" s="12">
        <f>C16-C31</f>
        <v>-4833</v>
      </c>
      <c r="D34" s="12">
        <f t="shared" ref="D34:H34" si="17">D16-D31</f>
        <v>6167</v>
      </c>
      <c r="E34" s="12">
        <f t="shared" si="17"/>
        <v>12696</v>
      </c>
      <c r="F34" s="12">
        <f t="shared" si="17"/>
        <v>659848</v>
      </c>
      <c r="G34" s="12">
        <f t="shared" si="17"/>
        <v>1063591</v>
      </c>
      <c r="H34" s="12">
        <f t="shared" si="17"/>
        <v>245429</v>
      </c>
      <c r="I34" s="96">
        <f t="shared" ref="I34:R34" si="18">I16-I19-I22-I25-I28</f>
        <v>272563.12966112781</v>
      </c>
      <c r="J34" s="97">
        <f t="shared" si="18"/>
        <v>444013.4037891482</v>
      </c>
      <c r="K34" s="97">
        <f t="shared" si="18"/>
        <v>620220.77922077954</v>
      </c>
      <c r="L34" s="97">
        <f t="shared" si="18"/>
        <v>753269.23076923145</v>
      </c>
      <c r="M34" s="97">
        <f t="shared" si="18"/>
        <v>919217.94871794921</v>
      </c>
      <c r="N34" s="97">
        <f t="shared" si="18"/>
        <v>1063269.230769231</v>
      </c>
      <c r="O34" s="97">
        <f t="shared" si="18"/>
        <v>1214423.0769230768</v>
      </c>
      <c r="P34" s="97">
        <f t="shared" si="18"/>
        <v>1315269.230769231</v>
      </c>
      <c r="Q34" s="97">
        <f t="shared" si="18"/>
        <v>1543461.538461538</v>
      </c>
      <c r="R34" s="97">
        <f t="shared" si="18"/>
        <v>1771538.4615384624</v>
      </c>
    </row>
    <row r="35" spans="1:86" x14ac:dyDescent="0.25">
      <c r="A35" s="1"/>
      <c r="B35" s="1" t="s">
        <v>15</v>
      </c>
      <c r="C35" s="75">
        <f>SUM(Sheet1!G15)</f>
        <v>1315</v>
      </c>
      <c r="D35" s="75">
        <f>SUM(Sheet1!H15)</f>
        <v>2182</v>
      </c>
      <c r="E35" s="75">
        <f>SUM(Sheet1!I15)</f>
        <v>13666</v>
      </c>
      <c r="F35" s="75">
        <f>SUM(Sheet1!O15:O16)</f>
        <v>18186</v>
      </c>
      <c r="G35" s="75">
        <f>SUM(Sheet1!P15:P16)</f>
        <v>38041</v>
      </c>
      <c r="H35" s="75">
        <f>SUM(Sheet1!Q15:Q16)</f>
        <v>3847</v>
      </c>
      <c r="I35" s="100">
        <f>I36*I11</f>
        <v>13440</v>
      </c>
      <c r="J35" s="101">
        <f t="shared" ref="J35:R35" si="19">J36*J11</f>
        <v>14100</v>
      </c>
      <c r="K35" s="101">
        <f t="shared" si="19"/>
        <v>14880</v>
      </c>
      <c r="L35" s="101">
        <f t="shared" si="19"/>
        <v>16650</v>
      </c>
      <c r="M35" s="101">
        <f t="shared" si="19"/>
        <v>17940.000000000004</v>
      </c>
      <c r="N35" s="101">
        <f t="shared" si="19"/>
        <v>19350.000000000004</v>
      </c>
      <c r="O35" s="101">
        <f t="shared" si="19"/>
        <v>20850</v>
      </c>
      <c r="P35" s="101">
        <f t="shared" si="19"/>
        <v>24090.000000000004</v>
      </c>
      <c r="Q35" s="101">
        <f t="shared" si="19"/>
        <v>26100</v>
      </c>
      <c r="R35" s="101">
        <f t="shared" si="19"/>
        <v>28200</v>
      </c>
    </row>
    <row r="36" spans="1:86" x14ac:dyDescent="0.25">
      <c r="A36" s="1"/>
      <c r="B36" s="79" t="s">
        <v>18</v>
      </c>
      <c r="C36" s="80">
        <f>C35/C11</f>
        <v>8.6811286127358427E-3</v>
      </c>
      <c r="D36" s="80">
        <f t="shared" ref="D36:H36" si="20">D35/D11</f>
        <v>6.6017784259206035E-3</v>
      </c>
      <c r="E36" s="80">
        <f t="shared" si="20"/>
        <v>2.1947842957128955E-2</v>
      </c>
      <c r="F36" s="80">
        <f t="shared" si="20"/>
        <v>6.8591006604892266E-3</v>
      </c>
      <c r="G36" s="80">
        <f t="shared" si="20"/>
        <v>9.2786004608933371E-3</v>
      </c>
      <c r="H36" s="80">
        <f t="shared" si="20"/>
        <v>8.7571933275058279E-4</v>
      </c>
      <c r="I36" s="90">
        <v>3.0000000000000001E-3</v>
      </c>
      <c r="J36" s="91">
        <v>3.0000000000000001E-3</v>
      </c>
      <c r="K36" s="91">
        <v>3.0000000000000001E-3</v>
      </c>
      <c r="L36" s="91">
        <v>3.0000000000000001E-3</v>
      </c>
      <c r="M36" s="91">
        <v>3.0000000000000001E-3</v>
      </c>
      <c r="N36" s="91">
        <v>3.0000000000000001E-3</v>
      </c>
      <c r="O36" s="91">
        <v>3.0000000000000001E-3</v>
      </c>
      <c r="P36" s="91">
        <v>3.0000000000000001E-3</v>
      </c>
      <c r="Q36" s="91">
        <v>3.0000000000000001E-3</v>
      </c>
      <c r="R36" s="91">
        <v>3.0000000000000001E-3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92"/>
      <c r="J37" s="93"/>
      <c r="K37" s="93"/>
      <c r="L37" s="93"/>
      <c r="M37" s="93"/>
      <c r="N37" s="93"/>
      <c r="O37" s="93"/>
      <c r="P37" s="93"/>
      <c r="Q37" s="93"/>
      <c r="R37" s="93"/>
    </row>
    <row r="38" spans="1:86" x14ac:dyDescent="0.25">
      <c r="A38" s="1"/>
      <c r="B38" s="1" t="s">
        <v>16</v>
      </c>
      <c r="C38" s="12">
        <f>C34+C35</f>
        <v>-3518</v>
      </c>
      <c r="D38" s="12">
        <f t="shared" ref="D38:H38" si="21">D34+D35</f>
        <v>8349</v>
      </c>
      <c r="E38" s="12">
        <f t="shared" si="21"/>
        <v>26362</v>
      </c>
      <c r="F38" s="12">
        <f t="shared" si="21"/>
        <v>678034</v>
      </c>
      <c r="G38" s="12">
        <f t="shared" si="21"/>
        <v>1101632</v>
      </c>
      <c r="H38" s="12">
        <f t="shared" si="21"/>
        <v>249276</v>
      </c>
      <c r="I38" s="96">
        <f t="shared" ref="I38:R38" si="22">I16-I31+I35</f>
        <v>286003.12966112792</v>
      </c>
      <c r="J38" s="97">
        <f t="shared" si="22"/>
        <v>458113.40378914867</v>
      </c>
      <c r="K38" s="97">
        <f t="shared" si="22"/>
        <v>635100.77922077943</v>
      </c>
      <c r="L38" s="97">
        <f t="shared" si="22"/>
        <v>769919.23076923098</v>
      </c>
      <c r="M38" s="97">
        <f t="shared" si="22"/>
        <v>937157.94871794898</v>
      </c>
      <c r="N38" s="97">
        <f t="shared" si="22"/>
        <v>1082619.2307692314</v>
      </c>
      <c r="O38" s="97">
        <f t="shared" si="22"/>
        <v>1235273.076923077</v>
      </c>
      <c r="P38" s="97">
        <f t="shared" si="22"/>
        <v>1339359.230769231</v>
      </c>
      <c r="Q38" s="97">
        <f t="shared" si="22"/>
        <v>1569561.538461538</v>
      </c>
      <c r="R38" s="97">
        <f t="shared" si="22"/>
        <v>1799738.461538462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92"/>
      <c r="J39" s="93"/>
      <c r="K39" s="93"/>
      <c r="L39" s="93"/>
      <c r="M39" s="93"/>
      <c r="N39" s="93"/>
      <c r="O39" s="93"/>
      <c r="P39" s="93"/>
      <c r="Q39" s="93"/>
      <c r="R39" s="93"/>
    </row>
    <row r="40" spans="1:86" x14ac:dyDescent="0.25">
      <c r="A40" s="1"/>
      <c r="B40" s="1" t="s">
        <v>17</v>
      </c>
      <c r="C40" s="12">
        <f t="shared" ref="C40:H40" si="23">C34</f>
        <v>-4833</v>
      </c>
      <c r="D40" s="12">
        <f t="shared" si="23"/>
        <v>6167</v>
      </c>
      <c r="E40" s="12">
        <f t="shared" si="23"/>
        <v>12696</v>
      </c>
      <c r="F40" s="12">
        <f t="shared" si="23"/>
        <v>659848</v>
      </c>
      <c r="G40" s="12">
        <f t="shared" si="23"/>
        <v>1063591</v>
      </c>
      <c r="H40" s="12">
        <f t="shared" si="23"/>
        <v>245429</v>
      </c>
      <c r="I40" s="96">
        <f t="shared" ref="I40:R40" si="24">I34</f>
        <v>272563.12966112781</v>
      </c>
      <c r="J40" s="97">
        <f t="shared" si="24"/>
        <v>444013.4037891482</v>
      </c>
      <c r="K40" s="97">
        <f t="shared" si="24"/>
        <v>620220.77922077954</v>
      </c>
      <c r="L40" s="97">
        <f t="shared" si="24"/>
        <v>753269.23076923145</v>
      </c>
      <c r="M40" s="97">
        <f t="shared" si="24"/>
        <v>919217.94871794921</v>
      </c>
      <c r="N40" s="97">
        <f t="shared" si="24"/>
        <v>1063269.230769231</v>
      </c>
      <c r="O40" s="97">
        <f t="shared" si="24"/>
        <v>1214423.0769230768</v>
      </c>
      <c r="P40" s="97">
        <f t="shared" si="24"/>
        <v>1315269.230769231</v>
      </c>
      <c r="Q40" s="97">
        <f t="shared" si="24"/>
        <v>1543461.538461538</v>
      </c>
      <c r="R40" s="97">
        <f t="shared" si="24"/>
        <v>1771538.4615384624</v>
      </c>
    </row>
    <row r="41" spans="1:86" x14ac:dyDescent="0.25">
      <c r="A41" s="1"/>
      <c r="B41" s="79" t="s">
        <v>18</v>
      </c>
      <c r="C41" s="80">
        <f t="shared" ref="C41:H41" si="25">C40/C11</f>
        <v>-3.1905623258823061E-2</v>
      </c>
      <c r="D41" s="80">
        <f t="shared" si="25"/>
        <v>1.8658646907723356E-2</v>
      </c>
      <c r="E41" s="80">
        <f t="shared" si="25"/>
        <v>2.0390005428341081E-2</v>
      </c>
      <c r="F41" s="80">
        <f t="shared" si="25"/>
        <v>0.24887077161676538</v>
      </c>
      <c r="G41" s="80">
        <f t="shared" si="25"/>
        <v>0.25942104421024698</v>
      </c>
      <c r="H41" s="80">
        <f t="shared" si="25"/>
        <v>5.5868708114801865E-2</v>
      </c>
      <c r="I41" s="90">
        <f t="shared" ref="I41:R41" si="26">I40/I11</f>
        <v>6.0839984299358885E-2</v>
      </c>
      <c r="J41" s="91">
        <f t="shared" si="26"/>
        <v>9.447093697641451E-2</v>
      </c>
      <c r="K41" s="91">
        <f t="shared" si="26"/>
        <v>0.12504451193967331</v>
      </c>
      <c r="L41" s="91">
        <f t="shared" si="26"/>
        <v>0.13572418572418585</v>
      </c>
      <c r="M41" s="91">
        <f t="shared" si="26"/>
        <v>0.15371537603979082</v>
      </c>
      <c r="N41" s="91">
        <f t="shared" si="26"/>
        <v>0.16484794275491951</v>
      </c>
      <c r="O41" s="91">
        <f t="shared" si="26"/>
        <v>0.17473713337022687</v>
      </c>
      <c r="P41" s="91">
        <f t="shared" si="26"/>
        <v>0.16379442475332887</v>
      </c>
      <c r="Q41" s="91">
        <f t="shared" si="26"/>
        <v>0.17740937223695841</v>
      </c>
      <c r="R41" s="91">
        <f t="shared" si="26"/>
        <v>0.18846153846153857</v>
      </c>
    </row>
    <row r="42" spans="1:86" x14ac:dyDescent="0.25">
      <c r="A42" s="1"/>
      <c r="B42" s="14"/>
      <c r="C42" s="1"/>
      <c r="D42" s="1"/>
      <c r="E42" s="1"/>
      <c r="G42" s="1"/>
      <c r="H42" s="1"/>
      <c r="I42" s="92"/>
      <c r="J42" s="93"/>
      <c r="K42" s="93"/>
      <c r="L42" s="93"/>
      <c r="M42" s="93"/>
      <c r="N42" s="93"/>
      <c r="O42" s="93"/>
      <c r="P42" s="93"/>
      <c r="Q42" s="93"/>
      <c r="R42" s="93"/>
    </row>
    <row r="43" spans="1:86" x14ac:dyDescent="0.25">
      <c r="A43" s="1"/>
      <c r="B43" s="1" t="s">
        <v>19</v>
      </c>
      <c r="C43" s="19">
        <f>Sheet1!G17</f>
        <v>304</v>
      </c>
      <c r="D43" s="19">
        <f>Sheet1!H17</f>
        <v>765</v>
      </c>
      <c r="E43" s="19">
        <f>Sheet1!I17</f>
        <v>1057</v>
      </c>
      <c r="F43" s="21">
        <f>Sheet1!O18</f>
        <v>5718</v>
      </c>
      <c r="G43" s="21">
        <f>Sheet1!P18</f>
        <v>-274007</v>
      </c>
      <c r="H43" s="21">
        <f>Sheet1!Q18</f>
        <v>145565</v>
      </c>
      <c r="I43" s="88">
        <f>I44*I40</f>
        <v>64243.129661127823</v>
      </c>
      <c r="J43" s="89">
        <f t="shared" ref="J43:R43" si="27">J44*J40</f>
        <v>99503.403789148113</v>
      </c>
      <c r="K43" s="89">
        <f t="shared" si="27"/>
        <v>142650.77922077931</v>
      </c>
      <c r="L43" s="89">
        <f t="shared" si="27"/>
        <v>165719.23076923093</v>
      </c>
      <c r="M43" s="89">
        <f t="shared" si="27"/>
        <v>202227.94871794884</v>
      </c>
      <c r="N43" s="89">
        <f t="shared" si="27"/>
        <v>233919.23076923081</v>
      </c>
      <c r="O43" s="89">
        <f t="shared" si="27"/>
        <v>267173.07692307688</v>
      </c>
      <c r="P43" s="89">
        <f t="shared" si="27"/>
        <v>289359.23076923081</v>
      </c>
      <c r="Q43" s="89">
        <f t="shared" si="27"/>
        <v>339561.53846153838</v>
      </c>
      <c r="R43" s="89">
        <f t="shared" si="27"/>
        <v>389738.46153846174</v>
      </c>
    </row>
    <row r="44" spans="1:86" x14ac:dyDescent="0.25">
      <c r="A44" s="1"/>
      <c r="B44" s="79" t="s">
        <v>20</v>
      </c>
      <c r="C44" s="85">
        <f t="shared" ref="C44:H44" si="28">C43/C40</f>
        <v>-6.2900889716532168E-2</v>
      </c>
      <c r="D44" s="85">
        <f t="shared" si="28"/>
        <v>0.1240473487919572</v>
      </c>
      <c r="E44" s="85">
        <f t="shared" si="28"/>
        <v>8.3254568367989917E-2</v>
      </c>
      <c r="F44" s="85">
        <f t="shared" si="28"/>
        <v>8.6656320849650224E-3</v>
      </c>
      <c r="G44" s="85">
        <f t="shared" si="28"/>
        <v>-0.25762440637425477</v>
      </c>
      <c r="H44" s="85">
        <f t="shared" si="28"/>
        <v>0.59310431937546093</v>
      </c>
      <c r="I44" s="102">
        <v>0.23569999999999999</v>
      </c>
      <c r="J44" s="103">
        <v>0.22409999999999999</v>
      </c>
      <c r="K44" s="103">
        <v>0.23</v>
      </c>
      <c r="L44" s="103">
        <v>0.22</v>
      </c>
      <c r="M44" s="103">
        <v>0.22</v>
      </c>
      <c r="N44" s="103">
        <v>0.22</v>
      </c>
      <c r="O44" s="103">
        <v>0.22</v>
      </c>
      <c r="P44" s="103">
        <v>0.22</v>
      </c>
      <c r="Q44" s="103">
        <v>0.22</v>
      </c>
      <c r="R44" s="103">
        <v>0.22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92"/>
      <c r="J45" s="93"/>
      <c r="K45" s="93"/>
      <c r="L45" s="93"/>
      <c r="M45" s="93"/>
      <c r="N45" s="93"/>
      <c r="O45" s="93"/>
      <c r="P45" s="93"/>
      <c r="Q45" s="93"/>
      <c r="R45" s="93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104">
        <v>2023</v>
      </c>
      <c r="J46" s="105">
        <v>2024</v>
      </c>
      <c r="K46" s="105">
        <v>2025</v>
      </c>
      <c r="L46" s="105">
        <v>2026</v>
      </c>
      <c r="M46" s="105">
        <v>2027</v>
      </c>
      <c r="N46" s="105">
        <v>2028</v>
      </c>
      <c r="O46" s="105">
        <v>2029</v>
      </c>
      <c r="P46" s="105">
        <v>2030</v>
      </c>
      <c r="Q46" s="105">
        <v>2031</v>
      </c>
      <c r="R46" s="105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f>Sheet2!D7</f>
        <v>2786</v>
      </c>
      <c r="D47" s="12">
        <f>Sheet2!E7</f>
        <v>7008</v>
      </c>
      <c r="E47" s="12">
        <f>Sheet2!F7</f>
        <v>16449</v>
      </c>
      <c r="F47" s="21">
        <f>Sheet2!L13</f>
        <v>28857</v>
      </c>
      <c r="G47" s="21">
        <f>Sheet2!M13</f>
        <v>48188</v>
      </c>
      <c r="H47" s="21">
        <f>Sheet2!N13</f>
        <v>82321</v>
      </c>
      <c r="I47" s="88">
        <f>I48*I11</f>
        <v>90970</v>
      </c>
      <c r="J47" s="89">
        <f t="shared" ref="J47:R47" si="29">J48*J11</f>
        <v>93860</v>
      </c>
      <c r="K47" s="89">
        <f t="shared" si="29"/>
        <v>96950</v>
      </c>
      <c r="L47" s="89">
        <f t="shared" si="29"/>
        <v>117230</v>
      </c>
      <c r="M47" s="89">
        <f t="shared" si="29"/>
        <v>136270.00000000003</v>
      </c>
      <c r="N47" s="89">
        <f t="shared" si="29"/>
        <v>157370.00000000003</v>
      </c>
      <c r="O47" s="89">
        <f t="shared" si="29"/>
        <v>181330</v>
      </c>
      <c r="P47" s="89">
        <f t="shared" si="29"/>
        <v>243150.00000000003</v>
      </c>
      <c r="Q47" s="89">
        <f t="shared" si="29"/>
        <v>275350</v>
      </c>
      <c r="R47" s="89">
        <f t="shared" si="29"/>
        <v>310550</v>
      </c>
    </row>
    <row r="48" spans="1:86" x14ac:dyDescent="0.25">
      <c r="A48" s="1"/>
      <c r="B48" s="79" t="s">
        <v>18</v>
      </c>
      <c r="C48" s="80">
        <f t="shared" ref="C48:H48" si="30">C47/C11</f>
        <v>1.839210974530955E-2</v>
      </c>
      <c r="D48" s="80">
        <f t="shared" si="30"/>
        <v>2.1203145375275706E-2</v>
      </c>
      <c r="E48" s="80">
        <f t="shared" si="30"/>
        <v>2.6417391248486327E-2</v>
      </c>
      <c r="F48" s="80">
        <f t="shared" si="30"/>
        <v>1.0883815449232245E-2</v>
      </c>
      <c r="G48" s="80">
        <f t="shared" si="30"/>
        <v>1.1753560605912781E-2</v>
      </c>
      <c r="H48" s="80">
        <f t="shared" si="30"/>
        <v>1.8739301063519814E-2</v>
      </c>
      <c r="I48" s="90">
        <v>2.0305803571428572E-2</v>
      </c>
      <c r="J48" s="91">
        <v>1.9970212765957448E-2</v>
      </c>
      <c r="K48" s="91">
        <v>1.9546370967741936E-2</v>
      </c>
      <c r="L48" s="91">
        <v>2.1122522522522523E-2</v>
      </c>
      <c r="M48" s="91">
        <v>2.27876254180602E-2</v>
      </c>
      <c r="N48" s="91">
        <v>2.43984496124031E-2</v>
      </c>
      <c r="O48" s="91">
        <v>2.6090647482014388E-2</v>
      </c>
      <c r="P48" s="91">
        <v>3.0280199252801992E-2</v>
      </c>
      <c r="Q48" s="91">
        <v>3.1649425287356321E-2</v>
      </c>
      <c r="R48" s="91">
        <v>3.3037234042553189E-2</v>
      </c>
    </row>
    <row r="49" spans="1:86" x14ac:dyDescent="0.25">
      <c r="A49" s="1"/>
      <c r="B49" s="1"/>
      <c r="C49" s="1"/>
      <c r="D49" s="1"/>
      <c r="E49" s="1"/>
      <c r="G49" s="1"/>
      <c r="H49" s="1"/>
      <c r="I49" s="92"/>
      <c r="J49" s="93"/>
      <c r="K49" s="93"/>
      <c r="L49" s="93"/>
      <c r="M49" s="93"/>
      <c r="N49" s="93"/>
      <c r="O49" s="93"/>
      <c r="P49" s="93"/>
      <c r="Q49" s="93"/>
      <c r="R49" s="93"/>
    </row>
    <row r="50" spans="1:86" x14ac:dyDescent="0.25">
      <c r="A50" s="1"/>
      <c r="B50" s="1" t="s">
        <v>23</v>
      </c>
      <c r="C50" s="12">
        <f>Sheet2!D24</f>
        <v>-9738</v>
      </c>
      <c r="D50" s="12">
        <f>Sheet2!E24</f>
        <v>-28432</v>
      </c>
      <c r="E50" s="12">
        <f>Sheet2!F24</f>
        <v>-38084</v>
      </c>
      <c r="F50" s="21">
        <f>Sheet2!L33</f>
        <v>-79972</v>
      </c>
      <c r="G50" s="21">
        <f>Sheet2!M33</f>
        <v>-132590</v>
      </c>
      <c r="H50" s="21">
        <f>Sheet2!N33</f>
        <v>-103826</v>
      </c>
      <c r="I50" s="88">
        <f>I51*I11</f>
        <v>-115380</v>
      </c>
      <c r="J50" s="89">
        <f t="shared" ref="J50:R50" si="31">J51*J11</f>
        <v>-123360</v>
      </c>
      <c r="K50" s="89">
        <f t="shared" si="31"/>
        <v>-135310</v>
      </c>
      <c r="L50" s="89">
        <f t="shared" si="31"/>
        <v>-152930</v>
      </c>
      <c r="M50" s="89">
        <f t="shared" si="31"/>
        <v>-165570.00000000003</v>
      </c>
      <c r="N50" s="89">
        <f t="shared" si="31"/>
        <v>-179100.00000000003</v>
      </c>
      <c r="O50" s="89">
        <f t="shared" si="31"/>
        <v>-193900</v>
      </c>
      <c r="P50" s="89">
        <f t="shared" si="31"/>
        <v>-216350.00000000003</v>
      </c>
      <c r="Q50" s="89">
        <f t="shared" si="31"/>
        <v>-236949.99999999997</v>
      </c>
      <c r="R50" s="89">
        <f t="shared" si="31"/>
        <v>-259800</v>
      </c>
    </row>
    <row r="51" spans="1:86" x14ac:dyDescent="0.25">
      <c r="A51" s="1"/>
      <c r="B51" s="79" t="s">
        <v>18</v>
      </c>
      <c r="C51" s="80">
        <f t="shared" ref="C51:H51" si="32">C50/C11</f>
        <v>-6.4286563065263605E-2</v>
      </c>
      <c r="D51" s="80">
        <f t="shared" si="32"/>
        <v>-8.6022806693755546E-2</v>
      </c>
      <c r="E51" s="80">
        <f t="shared" si="32"/>
        <v>-6.1163592212739579E-2</v>
      </c>
      <c r="F51" s="80">
        <f t="shared" si="32"/>
        <v>-3.0162542506358983E-2</v>
      </c>
      <c r="G51" s="80">
        <f t="shared" si="32"/>
        <v>-3.2340097134929351E-2</v>
      </c>
      <c r="H51" s="80">
        <f t="shared" si="32"/>
        <v>-2.3634633595571095E-2</v>
      </c>
      <c r="I51" s="90">
        <v>-2.5754464285714287E-2</v>
      </c>
      <c r="J51" s="91">
        <v>-2.6246808510638299E-2</v>
      </c>
      <c r="K51" s="91">
        <v>-2.7280241935483871E-2</v>
      </c>
      <c r="L51" s="91">
        <v>-2.7554954954954955E-2</v>
      </c>
      <c r="M51" s="91">
        <v>-2.7687290969899664E-2</v>
      </c>
      <c r="N51" s="91">
        <v>-2.7767441860465116E-2</v>
      </c>
      <c r="O51" s="91">
        <v>-2.7899280575539569E-2</v>
      </c>
      <c r="P51" s="91">
        <v>-2.6942714819427147E-2</v>
      </c>
      <c r="Q51" s="91">
        <v>-2.7235632183908044E-2</v>
      </c>
      <c r="R51" s="91">
        <v>-2.7638297872340425E-2</v>
      </c>
    </row>
    <row r="52" spans="1:86" x14ac:dyDescent="0.25">
      <c r="A52" s="1"/>
      <c r="B52" s="1"/>
      <c r="C52" s="1"/>
      <c r="D52" s="1"/>
      <c r="E52" s="1"/>
      <c r="G52" s="1"/>
      <c r="H52" s="1"/>
      <c r="I52" s="92"/>
      <c r="J52" s="93"/>
      <c r="K52" s="93"/>
      <c r="L52" s="93"/>
      <c r="M52" s="93"/>
      <c r="N52" s="93"/>
      <c r="O52" s="93"/>
      <c r="P52" s="93"/>
      <c r="Q52" s="93"/>
      <c r="R52" s="93"/>
    </row>
    <row r="53" spans="1:86" x14ac:dyDescent="0.25">
      <c r="A53" s="1"/>
      <c r="B53" s="1" t="s">
        <v>24</v>
      </c>
      <c r="C53" s="21">
        <f>SUM(Sheet2!D12:D18)</f>
        <v>288</v>
      </c>
      <c r="D53" s="21">
        <f>SUM(Sheet2!E12:E18)</f>
        <v>4970</v>
      </c>
      <c r="E53" s="21">
        <f>SUM(Sheet2!F12:F18)</f>
        <v>-12259</v>
      </c>
      <c r="F53" s="2">
        <f>SUM(Sheet2!L20:L26)</f>
        <v>319852</v>
      </c>
      <c r="G53" s="2">
        <f>SUM(Sheet2!M20:M26)</f>
        <v>-186454</v>
      </c>
      <c r="H53" s="2">
        <f>SUM(Sheet2!N20:N26)</f>
        <v>-412837</v>
      </c>
      <c r="I53" s="88">
        <f t="shared" ref="I53:R53" si="33">I54*I11</f>
        <v>44800</v>
      </c>
      <c r="J53" s="89">
        <f t="shared" si="33"/>
        <v>47000</v>
      </c>
      <c r="K53" s="89">
        <f t="shared" si="33"/>
        <v>49600</v>
      </c>
      <c r="L53" s="89">
        <f t="shared" si="33"/>
        <v>55500</v>
      </c>
      <c r="M53" s="89">
        <f t="shared" si="33"/>
        <v>59800.000000000007</v>
      </c>
      <c r="N53" s="89">
        <f t="shared" si="33"/>
        <v>64500.000000000007</v>
      </c>
      <c r="O53" s="89">
        <f t="shared" si="33"/>
        <v>69500</v>
      </c>
      <c r="P53" s="89">
        <f t="shared" si="33"/>
        <v>80300.000000000015</v>
      </c>
      <c r="Q53" s="89">
        <f t="shared" si="33"/>
        <v>87000</v>
      </c>
      <c r="R53" s="89">
        <f t="shared" si="33"/>
        <v>94000</v>
      </c>
    </row>
    <row r="54" spans="1:86" x14ac:dyDescent="0.25">
      <c r="A54" s="1"/>
      <c r="B54" s="79" t="s">
        <v>18</v>
      </c>
      <c r="C54" s="80">
        <f t="shared" ref="C54:H54" si="34">C53/C11</f>
        <v>1.9012661904699033E-3</v>
      </c>
      <c r="D54" s="80">
        <f t="shared" si="34"/>
        <v>1.5037048018710081E-2</v>
      </c>
      <c r="E54" s="80">
        <f t="shared" si="34"/>
        <v>-1.968817553135108E-2</v>
      </c>
      <c r="F54" s="80">
        <f t="shared" si="34"/>
        <v>0.12063659212904433</v>
      </c>
      <c r="G54" s="80">
        <f t="shared" si="34"/>
        <v>-4.5478093907505228E-2</v>
      </c>
      <c r="H54" s="80">
        <f t="shared" si="34"/>
        <v>-9.3976954035547788E-2</v>
      </c>
      <c r="I54" s="106">
        <v>0.01</v>
      </c>
      <c r="J54" s="107">
        <v>0.01</v>
      </c>
      <c r="K54" s="107">
        <v>0.01</v>
      </c>
      <c r="L54" s="107">
        <v>0.01</v>
      </c>
      <c r="M54" s="107">
        <v>0.01</v>
      </c>
      <c r="N54" s="107">
        <v>0.01</v>
      </c>
      <c r="O54" s="107">
        <v>0.01</v>
      </c>
      <c r="P54" s="107">
        <v>0.01</v>
      </c>
      <c r="Q54" s="107">
        <v>0.01</v>
      </c>
      <c r="R54" s="107">
        <v>0.01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92"/>
      <c r="J55" s="93"/>
      <c r="K55" s="93"/>
      <c r="L55" s="93"/>
      <c r="M55" s="93"/>
      <c r="N55" s="93"/>
      <c r="O55" s="93"/>
      <c r="P55" s="93"/>
      <c r="Q55" s="93"/>
      <c r="R55" s="93"/>
    </row>
    <row r="56" spans="1:86" x14ac:dyDescent="0.25">
      <c r="A56" s="1"/>
      <c r="B56" s="10" t="s">
        <v>25</v>
      </c>
      <c r="C56" s="12">
        <f>C40-C43</f>
        <v>-5137</v>
      </c>
      <c r="D56" s="12">
        <f t="shared" ref="D56:G56" si="35">D40-D43</f>
        <v>5402</v>
      </c>
      <c r="E56" s="12">
        <f t="shared" si="35"/>
        <v>11639</v>
      </c>
      <c r="F56" s="12">
        <f t="shared" si="35"/>
        <v>654130</v>
      </c>
      <c r="G56" s="12">
        <f t="shared" si="35"/>
        <v>1337598</v>
      </c>
      <c r="H56" s="12">
        <f>H40-H43</f>
        <v>99864</v>
      </c>
      <c r="I56" s="96">
        <f t="shared" ref="I56:R56" si="36">I40-I43</f>
        <v>208320</v>
      </c>
      <c r="J56" s="97">
        <f t="shared" si="36"/>
        <v>344510.00000000012</v>
      </c>
      <c r="K56" s="97">
        <f t="shared" si="36"/>
        <v>477570.00000000023</v>
      </c>
      <c r="L56" s="97">
        <f t="shared" si="36"/>
        <v>587550.00000000047</v>
      </c>
      <c r="M56" s="97">
        <f t="shared" si="36"/>
        <v>716990.00000000035</v>
      </c>
      <c r="N56" s="97">
        <f t="shared" si="36"/>
        <v>829350.00000000023</v>
      </c>
      <c r="O56" s="97">
        <f t="shared" si="36"/>
        <v>947249.99999999988</v>
      </c>
      <c r="P56" s="97">
        <f t="shared" si="36"/>
        <v>1025910.0000000002</v>
      </c>
      <c r="Q56" s="97">
        <f t="shared" si="36"/>
        <v>1203899.9999999995</v>
      </c>
      <c r="R56" s="97">
        <f t="shared" si="36"/>
        <v>1381800.0000000007</v>
      </c>
    </row>
    <row r="57" spans="1:86" x14ac:dyDescent="0.25">
      <c r="A57" s="1"/>
      <c r="B57" s="10" t="s">
        <v>56</v>
      </c>
      <c r="C57" s="12">
        <f>Sheet1!G19</f>
        <v>-4405</v>
      </c>
      <c r="D57" s="12"/>
      <c r="E57" s="12">
        <v>-3555</v>
      </c>
      <c r="F57" s="12">
        <f>Sheet1!O21</f>
        <v>-789</v>
      </c>
      <c r="G57" s="12">
        <f>Sheet1!P21</f>
        <v>-582</v>
      </c>
      <c r="H57" s="12">
        <f>Sheet1!Q21</f>
        <v>-7</v>
      </c>
      <c r="I57" s="96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</row>
    <row r="58" spans="1:86" x14ac:dyDescent="0.25">
      <c r="A58" s="1"/>
      <c r="B58" s="10" t="s">
        <v>26</v>
      </c>
      <c r="C58" s="12">
        <f>C38-C43+C57</f>
        <v>-8227</v>
      </c>
      <c r="D58" s="12">
        <f t="shared" ref="D58:H58" si="37">D38-D43+D57</f>
        <v>7584</v>
      </c>
      <c r="E58" s="12">
        <f t="shared" si="37"/>
        <v>21750</v>
      </c>
      <c r="F58" s="12">
        <f t="shared" si="37"/>
        <v>671527</v>
      </c>
      <c r="G58" s="12">
        <f t="shared" si="37"/>
        <v>1375057</v>
      </c>
      <c r="H58" s="12">
        <f t="shared" si="37"/>
        <v>103704</v>
      </c>
      <c r="I58" s="96">
        <f>I38-I43+I57</f>
        <v>221760.00000000012</v>
      </c>
      <c r="J58" s="97">
        <f t="shared" ref="J58:R58" si="38">J38-J43+J57</f>
        <v>358610.00000000058</v>
      </c>
      <c r="K58" s="97">
        <f t="shared" si="38"/>
        <v>492450.00000000012</v>
      </c>
      <c r="L58" s="97">
        <f t="shared" si="38"/>
        <v>604200</v>
      </c>
      <c r="M58" s="97">
        <f t="shared" si="38"/>
        <v>734930.00000000012</v>
      </c>
      <c r="N58" s="97">
        <f t="shared" si="38"/>
        <v>848700.0000000007</v>
      </c>
      <c r="O58" s="97">
        <f t="shared" si="38"/>
        <v>968100.00000000012</v>
      </c>
      <c r="P58" s="97">
        <f t="shared" si="38"/>
        <v>1050000.0000000002</v>
      </c>
      <c r="Q58" s="97">
        <f t="shared" si="38"/>
        <v>1229999.9999999995</v>
      </c>
      <c r="R58" s="97">
        <f t="shared" si="38"/>
        <v>1410000.0000000002</v>
      </c>
      <c r="S58" s="58">
        <f>R58*(1+$E$6)</f>
        <v>1452300.0000000002</v>
      </c>
      <c r="T58" s="58">
        <f t="shared" ref="T58:CE58" si="39">S58*(1+$E$6)</f>
        <v>1495869.0000000002</v>
      </c>
      <c r="U58" s="58">
        <f t="shared" si="39"/>
        <v>1540745.0700000003</v>
      </c>
      <c r="V58" s="58">
        <f t="shared" si="39"/>
        <v>1586967.4221000003</v>
      </c>
      <c r="W58" s="58">
        <f t="shared" si="39"/>
        <v>1634576.4447630004</v>
      </c>
      <c r="X58" s="58">
        <f t="shared" si="39"/>
        <v>1683613.7381058903</v>
      </c>
      <c r="Y58" s="58">
        <f t="shared" si="39"/>
        <v>1734122.150249067</v>
      </c>
      <c r="Z58" s="58">
        <f t="shared" si="39"/>
        <v>1786145.814756539</v>
      </c>
      <c r="AA58" s="58">
        <f t="shared" si="39"/>
        <v>1839730.1891992351</v>
      </c>
      <c r="AB58" s="58">
        <f t="shared" si="39"/>
        <v>1894922.0948752121</v>
      </c>
      <c r="AC58" s="58">
        <f t="shared" si="39"/>
        <v>1951769.7577214686</v>
      </c>
      <c r="AD58" s="58">
        <f t="shared" si="39"/>
        <v>2010322.8504531127</v>
      </c>
      <c r="AE58" s="58">
        <f t="shared" si="39"/>
        <v>2070632.5359667062</v>
      </c>
      <c r="AF58" s="58">
        <f t="shared" si="39"/>
        <v>2132751.5120457076</v>
      </c>
      <c r="AG58" s="58">
        <f t="shared" si="39"/>
        <v>2196734.0574070788</v>
      </c>
      <c r="AH58" s="58">
        <f t="shared" si="39"/>
        <v>2262636.0791292912</v>
      </c>
      <c r="AI58" s="58">
        <f t="shared" si="39"/>
        <v>2330515.1615031702</v>
      </c>
      <c r="AJ58" s="58">
        <f t="shared" si="39"/>
        <v>2400430.6163482652</v>
      </c>
      <c r="AK58" s="58">
        <f t="shared" si="39"/>
        <v>2472443.5348387132</v>
      </c>
      <c r="AL58" s="58">
        <f t="shared" si="39"/>
        <v>2546616.8408838748</v>
      </c>
      <c r="AM58" s="58">
        <f t="shared" si="39"/>
        <v>2623015.346110391</v>
      </c>
      <c r="AN58" s="58">
        <f t="shared" si="39"/>
        <v>2701705.8064937028</v>
      </c>
      <c r="AO58" s="58">
        <f t="shared" si="39"/>
        <v>2782756.9806885142</v>
      </c>
      <c r="AP58" s="58">
        <f t="shared" si="39"/>
        <v>2866239.6901091696</v>
      </c>
      <c r="AQ58" s="58">
        <f t="shared" si="39"/>
        <v>2952226.8808124447</v>
      </c>
      <c r="AR58" s="58">
        <f t="shared" si="39"/>
        <v>3040793.687236818</v>
      </c>
      <c r="AS58" s="58">
        <f t="shared" si="39"/>
        <v>3132017.4978539227</v>
      </c>
      <c r="AT58" s="58">
        <f t="shared" si="39"/>
        <v>3225978.0227895402</v>
      </c>
      <c r="AU58" s="58">
        <f t="shared" si="39"/>
        <v>3322757.3634732263</v>
      </c>
      <c r="AV58" s="58">
        <f t="shared" si="39"/>
        <v>3422440.0843774234</v>
      </c>
      <c r="AW58" s="58">
        <f t="shared" si="39"/>
        <v>3525113.2869087462</v>
      </c>
      <c r="AX58" s="58">
        <f t="shared" si="39"/>
        <v>3630866.6855160086</v>
      </c>
      <c r="AY58" s="58">
        <f t="shared" si="39"/>
        <v>3739792.6860814891</v>
      </c>
      <c r="AZ58" s="58">
        <f t="shared" si="39"/>
        <v>3851986.4666639338</v>
      </c>
      <c r="BA58" s="58">
        <f t="shared" si="39"/>
        <v>3967546.0606638519</v>
      </c>
      <c r="BB58" s="58">
        <f t="shared" si="39"/>
        <v>4086572.4424837674</v>
      </c>
      <c r="BC58" s="58">
        <f t="shared" si="39"/>
        <v>4209169.6157582803</v>
      </c>
      <c r="BD58" s="58">
        <f t="shared" si="39"/>
        <v>4335444.7042310284</v>
      </c>
      <c r="BE58" s="58">
        <f t="shared" si="39"/>
        <v>4465508.0453579593</v>
      </c>
      <c r="BF58" s="58">
        <f t="shared" si="39"/>
        <v>4599473.2867186982</v>
      </c>
      <c r="BG58" s="58">
        <f t="shared" si="39"/>
        <v>4737457.4853202589</v>
      </c>
      <c r="BH58" s="58">
        <f t="shared" si="39"/>
        <v>4879581.2098798668</v>
      </c>
      <c r="BI58" s="58">
        <f t="shared" si="39"/>
        <v>5025968.6461762628</v>
      </c>
      <c r="BJ58" s="58">
        <f t="shared" si="39"/>
        <v>5176747.7055615503</v>
      </c>
      <c r="BK58" s="58">
        <f t="shared" si="39"/>
        <v>5332050.1367283966</v>
      </c>
      <c r="BL58" s="58">
        <f t="shared" si="39"/>
        <v>5492011.6408302486</v>
      </c>
      <c r="BM58" s="58">
        <f t="shared" si="39"/>
        <v>5656771.9900551559</v>
      </c>
      <c r="BN58" s="58">
        <f t="shared" si="39"/>
        <v>5826475.1497568106</v>
      </c>
      <c r="BO58" s="58">
        <f t="shared" si="39"/>
        <v>6001269.4042495154</v>
      </c>
      <c r="BP58" s="58">
        <f t="shared" si="39"/>
        <v>6181307.4863770008</v>
      </c>
      <c r="BQ58" s="58">
        <f t="shared" si="39"/>
        <v>6366746.7109683109</v>
      </c>
      <c r="BR58" s="58">
        <f t="shared" si="39"/>
        <v>6557749.1122973608</v>
      </c>
      <c r="BS58" s="58">
        <f t="shared" si="39"/>
        <v>6754481.5856662821</v>
      </c>
      <c r="BT58" s="58">
        <f t="shared" si="39"/>
        <v>6957116.0332362708</v>
      </c>
      <c r="BU58" s="58">
        <f t="shared" si="39"/>
        <v>7165829.5142333591</v>
      </c>
      <c r="BV58" s="58">
        <f t="shared" si="39"/>
        <v>7380804.3996603601</v>
      </c>
      <c r="BW58" s="58">
        <f t="shared" si="39"/>
        <v>7602228.5316501707</v>
      </c>
      <c r="BX58" s="58">
        <f t="shared" si="39"/>
        <v>7830295.3875996759</v>
      </c>
      <c r="BY58" s="58">
        <f t="shared" si="39"/>
        <v>8065204.2492276663</v>
      </c>
      <c r="BZ58" s="58">
        <f t="shared" si="39"/>
        <v>8307160.3767044963</v>
      </c>
      <c r="CA58" s="58">
        <f t="shared" si="39"/>
        <v>8556375.1880056318</v>
      </c>
      <c r="CB58" s="58">
        <f t="shared" si="39"/>
        <v>8813066.4436458014</v>
      </c>
      <c r="CC58" s="58">
        <f t="shared" si="39"/>
        <v>9077458.4369551763</v>
      </c>
      <c r="CD58" s="58">
        <f t="shared" si="39"/>
        <v>9349782.1900638323</v>
      </c>
      <c r="CE58" s="58">
        <f t="shared" si="39"/>
        <v>9630275.6557657477</v>
      </c>
      <c r="CF58" s="58">
        <f t="shared" ref="CF58:CH58" si="40">CE58*(1+$E$6)</f>
        <v>9919183.9254387207</v>
      </c>
      <c r="CG58" s="58">
        <f t="shared" si="40"/>
        <v>10216759.443201883</v>
      </c>
      <c r="CH58" s="58">
        <f t="shared" si="40"/>
        <v>10523262.226497939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92"/>
      <c r="J59" s="93"/>
      <c r="K59" s="93"/>
      <c r="L59" s="93"/>
      <c r="M59" s="93"/>
      <c r="N59" s="93"/>
      <c r="O59" s="93"/>
      <c r="P59" s="93"/>
      <c r="Q59" s="93"/>
      <c r="R59" s="93"/>
    </row>
    <row r="60" spans="1:86" x14ac:dyDescent="0.25">
      <c r="A60" s="1"/>
      <c r="B60" s="10" t="s">
        <v>27</v>
      </c>
      <c r="C60" s="12">
        <f>C56+C47+C50-C53</f>
        <v>-12377</v>
      </c>
      <c r="D60" s="12">
        <f t="shared" ref="D60:R60" si="41">D56+D47+D50-D53</f>
        <v>-20992</v>
      </c>
      <c r="E60" s="12">
        <f t="shared" si="41"/>
        <v>2263</v>
      </c>
      <c r="F60" s="12">
        <f t="shared" si="41"/>
        <v>283163</v>
      </c>
      <c r="G60" s="12">
        <f t="shared" si="41"/>
        <v>1439650</v>
      </c>
      <c r="H60" s="12">
        <f t="shared" si="41"/>
        <v>491196</v>
      </c>
      <c r="I60" s="96">
        <f t="shared" si="41"/>
        <v>139110</v>
      </c>
      <c r="J60" s="97">
        <f t="shared" si="41"/>
        <v>268010.00000000012</v>
      </c>
      <c r="K60" s="97">
        <f t="shared" si="41"/>
        <v>389610.00000000023</v>
      </c>
      <c r="L60" s="97">
        <f t="shared" si="41"/>
        <v>496350.00000000047</v>
      </c>
      <c r="M60" s="97">
        <f t="shared" si="41"/>
        <v>627890.00000000035</v>
      </c>
      <c r="N60" s="97">
        <f t="shared" si="41"/>
        <v>743120.00000000023</v>
      </c>
      <c r="O60" s="97">
        <f t="shared" si="41"/>
        <v>865180</v>
      </c>
      <c r="P60" s="97">
        <f t="shared" si="41"/>
        <v>972410.00000000023</v>
      </c>
      <c r="Q60" s="97">
        <f t="shared" si="41"/>
        <v>1155299.9999999995</v>
      </c>
      <c r="R60" s="97">
        <f t="shared" si="41"/>
        <v>1338550.0000000007</v>
      </c>
    </row>
    <row r="61" spans="1:86" x14ac:dyDescent="0.25">
      <c r="A61" s="1"/>
      <c r="B61" s="22" t="s">
        <v>28</v>
      </c>
      <c r="C61" s="1"/>
      <c r="D61" s="1"/>
      <c r="E61" s="1"/>
      <c r="F61" s="1"/>
      <c r="G61" s="1"/>
      <c r="H61" s="1"/>
      <c r="I61" s="60">
        <f t="shared" ref="I61:R61" si="42">I60/((1+$E$5)^I9)</f>
        <v>128848.724626777</v>
      </c>
      <c r="J61" s="59">
        <f t="shared" si="42"/>
        <v>229929.42107890852</v>
      </c>
      <c r="K61" s="59">
        <f t="shared" si="42"/>
        <v>309596.05344173283</v>
      </c>
      <c r="L61" s="59">
        <f t="shared" si="42"/>
        <v>365321.40598406183</v>
      </c>
      <c r="M61" s="59">
        <f t="shared" si="42"/>
        <v>428047.96247551322</v>
      </c>
      <c r="N61" s="59">
        <f t="shared" si="42"/>
        <v>469234.12776454462</v>
      </c>
      <c r="O61" s="59">
        <f t="shared" si="42"/>
        <v>506009.7514537528</v>
      </c>
      <c r="P61" s="59">
        <f t="shared" si="42"/>
        <v>526773.11870792578</v>
      </c>
      <c r="Q61" s="59">
        <f t="shared" si="42"/>
        <v>579683.22826498258</v>
      </c>
      <c r="R61" s="59">
        <f t="shared" si="42"/>
        <v>622088.73047034175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4">
        <f>(R60*(1+$E$6))/($E$5-$E$6)</f>
        <v>27775132.97192331</v>
      </c>
      <c r="D63" s="1"/>
      <c r="E63" s="1" t="s">
        <v>30</v>
      </c>
      <c r="F63" s="19">
        <f>NPV($E$5,I58:CH58)</f>
        <v>17836993.968576998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5">
        <f>C63/((1+$E$5)^$R$9)</f>
        <v>12908443.621193601</v>
      </c>
      <c r="D64" s="17"/>
      <c r="E64" s="3"/>
      <c r="F64" s="3"/>
      <c r="G64" s="3"/>
      <c r="H64" s="17"/>
      <c r="I64" s="13"/>
      <c r="J64" s="1"/>
      <c r="L64" s="48" t="s">
        <v>52</v>
      </c>
      <c r="M64" s="49"/>
      <c r="N64" s="49"/>
      <c r="O64" s="49"/>
      <c r="P64" s="49"/>
      <c r="Q64" s="48"/>
    </row>
    <row r="65" spans="1:17" x14ac:dyDescent="0.25">
      <c r="A65" s="1"/>
      <c r="B65" s="6" t="s">
        <v>32</v>
      </c>
      <c r="C65" s="6"/>
      <c r="D65" s="1"/>
      <c r="E65" s="6"/>
      <c r="F65" s="6"/>
      <c r="G65" s="26" t="s">
        <v>33</v>
      </c>
      <c r="H65" s="26" t="s">
        <v>30</v>
      </c>
      <c r="I65" s="16"/>
      <c r="J65" s="1"/>
      <c r="K65" s="48"/>
      <c r="L65" s="50">
        <f>D71</f>
        <v>71.332169511302453</v>
      </c>
      <c r="M65" s="51">
        <v>-0.01</v>
      </c>
      <c r="N65" s="51">
        <v>0.03</v>
      </c>
      <c r="O65" s="51">
        <v>0.04</v>
      </c>
      <c r="P65" s="51">
        <v>0.05</v>
      </c>
      <c r="Q65" s="51">
        <v>0.06</v>
      </c>
    </row>
    <row r="66" spans="1:17" x14ac:dyDescent="0.25">
      <c r="A66" s="1"/>
      <c r="B66" s="27" t="s">
        <v>34</v>
      </c>
      <c r="C66" s="1"/>
      <c r="D66" s="34">
        <f>1029546+4566845</f>
        <v>5596391</v>
      </c>
      <c r="E66" s="1"/>
      <c r="F66" s="1"/>
      <c r="G66" s="24">
        <f>C64+SUM(I61:R61)</f>
        <v>17073976.14546214</v>
      </c>
      <c r="H66" s="19">
        <f>F63</f>
        <v>17836993.968576998</v>
      </c>
      <c r="I66" s="16"/>
      <c r="J66" s="1"/>
      <c r="K66" s="48"/>
      <c r="L66" s="52">
        <f>L67-1%</f>
        <v>8.5514242810595484E-2</v>
      </c>
      <c r="M66" s="53">
        <f t="dataTable" ref="M66:Q70" dt2D="1" dtr="1" r1="E6" r2="E5"/>
        <v>48.263012405785958</v>
      </c>
      <c r="N66" s="53">
        <v>64.387610268564714</v>
      </c>
      <c r="O66" s="53">
        <v>72.372545331204606</v>
      </c>
      <c r="P66" s="53">
        <v>84.109517010590821</v>
      </c>
      <c r="Q66" s="53">
        <v>103.07992528577986</v>
      </c>
    </row>
    <row r="67" spans="1:17" x14ac:dyDescent="0.25">
      <c r="A67" s="1"/>
      <c r="B67" s="28" t="s">
        <v>35</v>
      </c>
      <c r="C67" s="3"/>
      <c r="D67" s="29">
        <f>1843893-16520</f>
        <v>1827373</v>
      </c>
      <c r="E67" s="3"/>
      <c r="F67" s="3"/>
      <c r="G67" s="3"/>
      <c r="H67" s="3"/>
      <c r="I67" s="16"/>
      <c r="J67" s="1"/>
      <c r="K67" s="49"/>
      <c r="L67" s="52">
        <f>L68-1%</f>
        <v>9.5514242810595479E-2</v>
      </c>
      <c r="M67" s="53">
        <v>43.787026969971436</v>
      </c>
      <c r="N67" s="54">
        <v>55.329329761681095</v>
      </c>
      <c r="O67" s="54">
        <v>60.62353253683446</v>
      </c>
      <c r="P67" s="54">
        <v>67.959938572812163</v>
      </c>
      <c r="Q67" s="53">
        <v>78.736797829391293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0">
        <f>(G66+D66-D67)</f>
        <v>20842994.14546214</v>
      </c>
      <c r="H68" s="31">
        <f>(H66+D66-D67)</f>
        <v>21606011.968576998</v>
      </c>
      <c r="I68" s="16"/>
      <c r="J68"/>
      <c r="K68" s="48" t="s">
        <v>1</v>
      </c>
      <c r="L68" s="55">
        <v>0.10551424281059547</v>
      </c>
      <c r="M68" s="53">
        <v>40.146177688400698</v>
      </c>
      <c r="N68" s="54">
        <v>48.640748141790368</v>
      </c>
      <c r="O68" s="56">
        <v>52.305752612879523</v>
      </c>
      <c r="P68" s="54">
        <v>57.176446717801497</v>
      </c>
      <c r="Q68" s="53">
        <v>63.921994071924644</v>
      </c>
    </row>
    <row r="69" spans="1:17" x14ac:dyDescent="0.25">
      <c r="A69" s="1"/>
      <c r="B69" s="3" t="s">
        <v>37</v>
      </c>
      <c r="C69" s="3"/>
      <c r="D69" s="34">
        <f>297544617/1000</f>
        <v>297544.61700000003</v>
      </c>
      <c r="E69" s="3"/>
      <c r="F69" s="3"/>
      <c r="G69" s="3"/>
      <c r="H69" s="3"/>
      <c r="I69" s="16"/>
      <c r="J69" s="1"/>
      <c r="K69" s="48"/>
      <c r="L69" s="57">
        <f>L68+1%</f>
        <v>0.11551424281059547</v>
      </c>
      <c r="M69" s="53">
        <v>37.138324570269752</v>
      </c>
      <c r="N69" s="54">
        <v>43.533371526424872</v>
      </c>
      <c r="O69" s="54">
        <v>46.156595682894405</v>
      </c>
      <c r="P69" s="54">
        <v>49.532483296596979</v>
      </c>
      <c r="Q69" s="53">
        <v>54.016781999084714</v>
      </c>
    </row>
    <row r="70" spans="1:17" x14ac:dyDescent="0.25">
      <c r="A70" s="1"/>
      <c r="B70" s="18" t="s">
        <v>38</v>
      </c>
      <c r="C70" s="18"/>
      <c r="D70" s="18">
        <f>D69*$J$5</f>
        <v>21824897.656950001</v>
      </c>
      <c r="E70" s="18"/>
      <c r="F70" s="18"/>
      <c r="G70" s="18"/>
      <c r="H70" s="32"/>
      <c r="I70" s="1"/>
      <c r="J70" s="1"/>
      <c r="K70" s="48"/>
      <c r="L70" s="57">
        <f>L69+1%</f>
        <v>0.12551424281059548</v>
      </c>
      <c r="M70" s="53">
        <v>34.620356517027737</v>
      </c>
      <c r="N70" s="53">
        <v>39.526968429920004</v>
      </c>
      <c r="O70" s="53">
        <v>41.455822249220411</v>
      </c>
      <c r="P70" s="53">
        <v>43.874710705946661</v>
      </c>
      <c r="Q70" s="53">
        <v>46.986487551778922</v>
      </c>
    </row>
    <row r="71" spans="1:17" x14ac:dyDescent="0.25">
      <c r="A71" s="1"/>
      <c r="B71" s="6" t="s">
        <v>39</v>
      </c>
      <c r="C71" s="6" t="s">
        <v>40</v>
      </c>
      <c r="D71" s="33">
        <f>(G71+H71)/2</f>
        <v>71.332169511302453</v>
      </c>
      <c r="F71" s="6"/>
      <c r="G71" s="33">
        <f>G68/D69</f>
        <v>70.049978909422308</v>
      </c>
      <c r="H71" s="33">
        <f>H68/D69</f>
        <v>72.614360113182613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D251-847D-49EB-A1B7-0EBCA935B3CF}">
  <dimension ref="A1:AC28"/>
  <sheetViews>
    <sheetView topLeftCell="A10" workbookViewId="0">
      <selection activeCell="G21" sqref="G21"/>
    </sheetView>
  </sheetViews>
  <sheetFormatPr defaultRowHeight="15" x14ac:dyDescent="0.25"/>
  <cols>
    <col min="15" max="17" width="11.85546875" customWidth="1"/>
  </cols>
  <sheetData>
    <row r="1" spans="1:29" x14ac:dyDescent="0.25">
      <c r="A1" s="65" t="s">
        <v>96</v>
      </c>
      <c r="B1" s="65"/>
      <c r="C1" s="65"/>
      <c r="D1" s="65"/>
      <c r="E1" s="65"/>
      <c r="L1" s="65" t="s">
        <v>96</v>
      </c>
      <c r="M1" s="65"/>
      <c r="N1" s="65"/>
    </row>
    <row r="4" spans="1:29" x14ac:dyDescent="0.25">
      <c r="G4" s="65" t="s">
        <v>97</v>
      </c>
      <c r="H4" s="65"/>
      <c r="I4" s="65"/>
      <c r="O4" s="65" t="s">
        <v>97</v>
      </c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</row>
    <row r="5" spans="1:29" x14ac:dyDescent="0.25">
      <c r="G5" s="65">
        <v>2017</v>
      </c>
      <c r="H5" s="65">
        <v>2018</v>
      </c>
      <c r="I5" s="65">
        <v>2019</v>
      </c>
      <c r="O5" s="65">
        <v>2020</v>
      </c>
      <c r="P5" s="65">
        <v>2021</v>
      </c>
      <c r="Q5" s="65">
        <v>2022</v>
      </c>
      <c r="R5" s="65"/>
      <c r="S5" s="65"/>
      <c r="W5" s="65"/>
      <c r="X5" s="65"/>
      <c r="AB5" s="65"/>
      <c r="AC5" s="65"/>
    </row>
    <row r="6" spans="1:29" x14ac:dyDescent="0.25">
      <c r="A6" t="s">
        <v>7</v>
      </c>
      <c r="G6" s="67">
        <v>151478</v>
      </c>
      <c r="H6" s="67">
        <v>330517</v>
      </c>
      <c r="I6" s="67">
        <v>622658</v>
      </c>
      <c r="L6" s="65" t="s">
        <v>7</v>
      </c>
      <c r="M6" s="65"/>
      <c r="N6" s="65"/>
      <c r="O6" s="71">
        <v>2651368</v>
      </c>
      <c r="P6" s="71">
        <v>4099864</v>
      </c>
      <c r="Q6" s="71">
        <v>4392960</v>
      </c>
      <c r="R6" s="71"/>
      <c r="W6" s="71"/>
      <c r="AB6" s="71"/>
    </row>
    <row r="7" spans="1:29" x14ac:dyDescent="0.25">
      <c r="A7" t="s">
        <v>98</v>
      </c>
      <c r="G7" s="34">
        <v>30780</v>
      </c>
      <c r="H7" s="34">
        <v>61001</v>
      </c>
      <c r="I7" s="34">
        <v>115396</v>
      </c>
      <c r="L7" s="65" t="s">
        <v>98</v>
      </c>
      <c r="M7" s="65"/>
      <c r="N7" s="65"/>
      <c r="O7" s="72">
        <v>821989</v>
      </c>
      <c r="P7" s="72">
        <v>1054554</v>
      </c>
      <c r="Q7" s="72">
        <v>1100451</v>
      </c>
      <c r="R7" s="72"/>
      <c r="W7" s="72"/>
      <c r="AB7" s="72"/>
    </row>
    <row r="8" spans="1:29" x14ac:dyDescent="0.25">
      <c r="A8" t="s">
        <v>99</v>
      </c>
      <c r="G8" s="34">
        <v>120698</v>
      </c>
      <c r="H8" s="34">
        <v>269516</v>
      </c>
      <c r="I8" s="34">
        <v>507262</v>
      </c>
      <c r="L8" s="65" t="s">
        <v>99</v>
      </c>
      <c r="M8" s="65"/>
      <c r="N8" s="65"/>
      <c r="O8" s="72">
        <v>1829379</v>
      </c>
      <c r="P8" s="72">
        <v>3045310</v>
      </c>
      <c r="Q8" s="72">
        <v>3292509</v>
      </c>
      <c r="R8" s="72"/>
      <c r="W8" s="72"/>
      <c r="AB8" s="72"/>
    </row>
    <row r="9" spans="1:29" x14ac:dyDescent="0.25">
      <c r="A9" t="s">
        <v>100</v>
      </c>
      <c r="L9" s="65" t="s">
        <v>100</v>
      </c>
      <c r="M9" s="65"/>
      <c r="N9" s="65"/>
    </row>
    <row r="10" spans="1:29" x14ac:dyDescent="0.25">
      <c r="A10" t="s">
        <v>101</v>
      </c>
      <c r="G10" s="34">
        <v>15733</v>
      </c>
      <c r="H10" s="34">
        <v>33014</v>
      </c>
      <c r="I10" s="34">
        <v>67079</v>
      </c>
      <c r="L10" s="65" t="s">
        <v>101</v>
      </c>
      <c r="M10" s="65"/>
      <c r="N10" s="65"/>
      <c r="O10" s="72">
        <v>164080</v>
      </c>
      <c r="P10" s="72">
        <v>362990</v>
      </c>
      <c r="Q10" s="72">
        <v>774059</v>
      </c>
      <c r="R10" s="72"/>
      <c r="W10" s="72"/>
      <c r="AB10" s="72"/>
    </row>
    <row r="11" spans="1:29" x14ac:dyDescent="0.25">
      <c r="A11" t="s">
        <v>102</v>
      </c>
      <c r="G11" s="34">
        <v>82707</v>
      </c>
      <c r="H11" s="34">
        <v>185821</v>
      </c>
      <c r="I11" s="34">
        <v>340646</v>
      </c>
      <c r="L11" s="65" t="s">
        <v>102</v>
      </c>
      <c r="M11" s="65"/>
      <c r="N11" s="65"/>
      <c r="O11" s="72">
        <v>684904</v>
      </c>
      <c r="P11" s="72">
        <v>1135959</v>
      </c>
      <c r="Q11" s="72">
        <v>1696590</v>
      </c>
      <c r="R11" s="72"/>
      <c r="W11" s="72"/>
      <c r="AB11" s="72"/>
    </row>
    <row r="12" spans="1:29" x14ac:dyDescent="0.25">
      <c r="A12" t="s">
        <v>103</v>
      </c>
      <c r="G12" s="34">
        <v>27091</v>
      </c>
      <c r="H12" s="34">
        <v>44514</v>
      </c>
      <c r="I12" s="34">
        <v>86841</v>
      </c>
      <c r="L12" s="65" t="s">
        <v>103</v>
      </c>
      <c r="M12" s="65"/>
      <c r="N12" s="65"/>
      <c r="O12" s="72">
        <v>320547</v>
      </c>
      <c r="P12" s="72">
        <v>482770</v>
      </c>
      <c r="Q12" s="72">
        <v>576431</v>
      </c>
      <c r="R12" s="72"/>
      <c r="W12" s="72"/>
      <c r="AB12" s="72"/>
    </row>
    <row r="13" spans="1:29" x14ac:dyDescent="0.25">
      <c r="A13" s="65" t="s">
        <v>104</v>
      </c>
      <c r="B13" s="65"/>
      <c r="C13" s="65"/>
      <c r="G13" s="34">
        <v>125531</v>
      </c>
      <c r="H13" s="34">
        <v>263349</v>
      </c>
      <c r="I13" s="34">
        <v>494566</v>
      </c>
      <c r="L13" s="65" t="s">
        <v>104</v>
      </c>
      <c r="M13" s="65"/>
      <c r="N13" s="65"/>
      <c r="O13" s="72">
        <v>1169531</v>
      </c>
      <c r="P13" s="72">
        <v>1981719</v>
      </c>
      <c r="Q13" s="72">
        <v>3047080</v>
      </c>
      <c r="R13" s="72"/>
      <c r="W13" s="72"/>
      <c r="AB13" s="72"/>
    </row>
    <row r="14" spans="1:29" x14ac:dyDescent="0.25">
      <c r="A14" t="s">
        <v>105</v>
      </c>
      <c r="G14" s="68">
        <v>-4833</v>
      </c>
      <c r="H14" s="34">
        <v>6167</v>
      </c>
      <c r="I14" s="34">
        <v>12696</v>
      </c>
      <c r="L14" s="65" t="s">
        <v>117</v>
      </c>
      <c r="M14" s="65"/>
      <c r="N14" s="65"/>
      <c r="O14" s="72">
        <v>659848</v>
      </c>
      <c r="P14" s="72">
        <v>1063591</v>
      </c>
      <c r="Q14" s="72">
        <v>245429</v>
      </c>
      <c r="R14" s="72"/>
      <c r="W14" s="72"/>
      <c r="AB14" s="72"/>
    </row>
    <row r="15" spans="1:29" x14ac:dyDescent="0.25">
      <c r="A15" t="s">
        <v>106</v>
      </c>
      <c r="G15" s="34">
        <v>1315</v>
      </c>
      <c r="H15" s="34">
        <v>2182</v>
      </c>
      <c r="I15" s="34">
        <v>13666</v>
      </c>
      <c r="L15" s="65" t="s">
        <v>118</v>
      </c>
      <c r="M15" s="65"/>
      <c r="N15" s="65"/>
      <c r="O15" s="72">
        <v>2538</v>
      </c>
      <c r="P15" s="72">
        <v>43761</v>
      </c>
      <c r="Q15" s="73">
        <v>-37571</v>
      </c>
      <c r="R15" s="73"/>
      <c r="W15" s="72"/>
      <c r="AB15" s="72"/>
    </row>
    <row r="16" spans="1:29" x14ac:dyDescent="0.25">
      <c r="A16" t="s">
        <v>107</v>
      </c>
      <c r="G16" s="68">
        <v>-3518</v>
      </c>
      <c r="H16" s="34">
        <v>8349</v>
      </c>
      <c r="I16" s="34">
        <v>26362</v>
      </c>
      <c r="L16" s="65" t="s">
        <v>119</v>
      </c>
      <c r="M16" s="65"/>
      <c r="N16" s="65"/>
      <c r="O16" s="72">
        <v>15648</v>
      </c>
      <c r="P16" s="73">
        <v>-5720</v>
      </c>
      <c r="Q16" s="72">
        <v>41418</v>
      </c>
      <c r="R16" s="72"/>
      <c r="W16" s="73"/>
      <c r="AB16" s="72"/>
    </row>
    <row r="17" spans="1:28" x14ac:dyDescent="0.25">
      <c r="A17" t="s">
        <v>108</v>
      </c>
      <c r="G17" s="34">
        <v>304</v>
      </c>
      <c r="H17" s="34">
        <v>765</v>
      </c>
      <c r="I17" s="34">
        <v>1057</v>
      </c>
      <c r="L17" s="65" t="s">
        <v>120</v>
      </c>
      <c r="M17" s="65"/>
      <c r="N17" s="65"/>
      <c r="O17" s="72">
        <v>678034</v>
      </c>
      <c r="P17" s="72">
        <v>1101632</v>
      </c>
      <c r="Q17" s="72">
        <v>249276</v>
      </c>
      <c r="R17" s="72"/>
      <c r="W17" s="72"/>
      <c r="AB17" s="72"/>
    </row>
    <row r="18" spans="1:28" x14ac:dyDescent="0.25">
      <c r="A18" t="s">
        <v>58</v>
      </c>
      <c r="G18" s="68">
        <v>-3822</v>
      </c>
      <c r="H18" s="34">
        <v>7584</v>
      </c>
      <c r="I18" s="34">
        <v>25305</v>
      </c>
      <c r="L18" s="65" t="s">
        <v>121</v>
      </c>
      <c r="M18" s="65"/>
      <c r="N18" s="65"/>
      <c r="O18" s="72">
        <v>5718</v>
      </c>
      <c r="P18" s="73">
        <v>-274007</v>
      </c>
      <c r="Q18" s="72">
        <v>145565</v>
      </c>
      <c r="R18" s="72"/>
      <c r="W18" s="73"/>
      <c r="AB18" s="72"/>
    </row>
    <row r="19" spans="1:28" x14ac:dyDescent="0.25">
      <c r="A19" t="s">
        <v>109</v>
      </c>
      <c r="G19" s="68">
        <v>-4405</v>
      </c>
      <c r="H19" t="s">
        <v>64</v>
      </c>
      <c r="I19" t="s">
        <v>64</v>
      </c>
      <c r="L19" s="65" t="s">
        <v>26</v>
      </c>
      <c r="M19" s="65"/>
      <c r="N19" s="65"/>
      <c r="O19" s="72">
        <v>672316</v>
      </c>
      <c r="P19" s="72">
        <v>1375639</v>
      </c>
      <c r="Q19" s="72">
        <v>103711</v>
      </c>
      <c r="R19" s="72"/>
      <c r="W19" s="72"/>
      <c r="AB19" s="72"/>
    </row>
    <row r="20" spans="1:28" x14ac:dyDescent="0.25">
      <c r="A20" t="s">
        <v>110</v>
      </c>
      <c r="G20" t="s">
        <v>64</v>
      </c>
      <c r="H20" s="68">
        <v>-7584</v>
      </c>
      <c r="I20" s="68">
        <v>-3555</v>
      </c>
    </row>
    <row r="21" spans="1:28" x14ac:dyDescent="0.25">
      <c r="A21" t="s">
        <v>111</v>
      </c>
      <c r="G21" s="66">
        <v>-8227</v>
      </c>
      <c r="H21" t="s">
        <v>112</v>
      </c>
      <c r="I21" s="67">
        <v>21750</v>
      </c>
      <c r="L21" s="65" t="s">
        <v>110</v>
      </c>
      <c r="M21" s="65"/>
      <c r="N21" s="65"/>
      <c r="O21" s="73">
        <v>-789</v>
      </c>
      <c r="P21" s="73">
        <v>-582</v>
      </c>
      <c r="Q21" s="73">
        <v>-7</v>
      </c>
      <c r="R21" s="73"/>
      <c r="W21" s="73"/>
      <c r="AB21" s="73"/>
    </row>
    <row r="22" spans="1:28" x14ac:dyDescent="0.25">
      <c r="A22" t="s">
        <v>113</v>
      </c>
      <c r="L22" s="65" t="s">
        <v>122</v>
      </c>
      <c r="M22" s="65"/>
      <c r="N22" s="65"/>
      <c r="O22" s="71">
        <v>671527</v>
      </c>
      <c r="P22" s="71">
        <v>1375057</v>
      </c>
      <c r="Q22" s="71">
        <v>103704</v>
      </c>
      <c r="R22" s="71"/>
      <c r="W22" s="71"/>
      <c r="AB22" s="71"/>
    </row>
    <row r="23" spans="1:28" x14ac:dyDescent="0.25">
      <c r="A23" t="s">
        <v>114</v>
      </c>
      <c r="G23" s="69">
        <v>-0.11</v>
      </c>
      <c r="H23" s="70">
        <v>0</v>
      </c>
      <c r="I23" s="70">
        <v>0.09</v>
      </c>
      <c r="L23" s="65" t="s">
        <v>123</v>
      </c>
      <c r="M23" s="65"/>
      <c r="N23" s="65"/>
    </row>
    <row r="24" spans="1:28" x14ac:dyDescent="0.25">
      <c r="A24" t="s">
        <v>115</v>
      </c>
      <c r="G24" s="69">
        <v>-0.11</v>
      </c>
      <c r="H24" s="70">
        <v>0</v>
      </c>
      <c r="I24" s="70">
        <v>0.09</v>
      </c>
      <c r="L24" s="65" t="s">
        <v>114</v>
      </c>
      <c r="M24" s="65"/>
      <c r="N24" s="65"/>
      <c r="O24" s="74">
        <v>2.37</v>
      </c>
      <c r="P24" s="74">
        <v>4.6399999999999997</v>
      </c>
      <c r="Q24" s="74">
        <v>0.35</v>
      </c>
      <c r="R24" s="74"/>
      <c r="W24" s="74"/>
      <c r="AB24" s="74"/>
    </row>
    <row r="25" spans="1:28" x14ac:dyDescent="0.25">
      <c r="A25" t="s">
        <v>116</v>
      </c>
      <c r="L25" s="65" t="s">
        <v>115</v>
      </c>
      <c r="M25" s="65"/>
      <c r="N25" s="65"/>
      <c r="O25" s="74">
        <v>2.25</v>
      </c>
      <c r="P25" s="74">
        <v>4.5</v>
      </c>
      <c r="Q25" s="74">
        <v>0.34</v>
      </c>
      <c r="R25" s="74"/>
      <c r="W25" s="74"/>
      <c r="AB25" s="74"/>
    </row>
    <row r="26" spans="1:28" x14ac:dyDescent="0.25">
      <c r="A26" t="s">
        <v>114</v>
      </c>
      <c r="G26" s="34">
        <v>78119865</v>
      </c>
      <c r="H26" s="34">
        <v>84483094</v>
      </c>
      <c r="I26" s="34">
        <v>233641336</v>
      </c>
      <c r="L26" s="65" t="s">
        <v>124</v>
      </c>
      <c r="M26" s="65"/>
      <c r="N26" s="65"/>
    </row>
    <row r="27" spans="1:28" x14ac:dyDescent="0.25">
      <c r="A27" t="s">
        <v>115</v>
      </c>
      <c r="G27" s="34">
        <v>78119865</v>
      </c>
      <c r="H27" s="34">
        <v>116005681</v>
      </c>
      <c r="I27" s="34">
        <v>254298014</v>
      </c>
      <c r="L27" s="65" t="s">
        <v>114</v>
      </c>
      <c r="M27" s="65"/>
      <c r="N27" s="65"/>
      <c r="O27" s="72">
        <v>283853654</v>
      </c>
      <c r="P27" s="72">
        <v>296334894</v>
      </c>
      <c r="Q27" s="72">
        <v>296560501</v>
      </c>
      <c r="R27" s="72"/>
      <c r="W27" s="72"/>
      <c r="AB27" s="72"/>
    </row>
    <row r="28" spans="1:28" x14ac:dyDescent="0.25">
      <c r="L28" s="65" t="s">
        <v>115</v>
      </c>
      <c r="M28" s="65"/>
      <c r="N28" s="65"/>
      <c r="O28" s="72">
        <v>298127669</v>
      </c>
      <c r="P28" s="72">
        <v>305826505</v>
      </c>
      <c r="Q28" s="72">
        <v>304231350</v>
      </c>
      <c r="R28" s="72"/>
      <c r="W28" s="72"/>
      <c r="AB28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58C-AFF4-464E-87EC-D45A817926A9}">
  <dimension ref="A1:Z54"/>
  <sheetViews>
    <sheetView topLeftCell="A13" workbookViewId="0">
      <selection activeCell="O5" sqref="O5"/>
    </sheetView>
  </sheetViews>
  <sheetFormatPr defaultRowHeight="15" x14ac:dyDescent="0.25"/>
  <sheetData>
    <row r="1" spans="1:26" x14ac:dyDescent="0.25">
      <c r="A1" s="77"/>
      <c r="B1" s="77"/>
      <c r="C1" s="77"/>
      <c r="D1" s="65">
        <v>2017</v>
      </c>
      <c r="E1" s="65">
        <v>2018</v>
      </c>
      <c r="F1" s="65">
        <v>2019</v>
      </c>
      <c r="I1" s="65" t="s">
        <v>125</v>
      </c>
      <c r="J1" s="65"/>
      <c r="K1" s="65"/>
      <c r="L1" s="65"/>
      <c r="M1" s="65"/>
      <c r="N1" s="65"/>
    </row>
    <row r="2" spans="1:26" x14ac:dyDescent="0.25">
      <c r="A2" s="78" t="s">
        <v>57</v>
      </c>
      <c r="B2" s="78"/>
      <c r="C2" s="78"/>
    </row>
    <row r="3" spans="1:26" x14ac:dyDescent="0.25">
      <c r="A3" s="77" t="s">
        <v>58</v>
      </c>
      <c r="B3" s="77"/>
      <c r="C3" s="77"/>
      <c r="D3" s="66">
        <v>-3822</v>
      </c>
      <c r="E3" s="67">
        <v>7584</v>
      </c>
      <c r="F3" s="67">
        <v>25305</v>
      </c>
    </row>
    <row r="4" spans="1:26" x14ac:dyDescent="0.25">
      <c r="A4" s="77" t="s">
        <v>59</v>
      </c>
      <c r="B4" s="77"/>
      <c r="C4" s="77"/>
      <c r="L4" s="65" t="s">
        <v>97</v>
      </c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5">
      <c r="A5" s="77" t="s">
        <v>60</v>
      </c>
      <c r="B5" s="77"/>
      <c r="C5" s="77"/>
      <c r="D5" s="34">
        <v>10329</v>
      </c>
      <c r="E5" s="34">
        <v>8941</v>
      </c>
      <c r="F5" s="34">
        <v>73109</v>
      </c>
      <c r="L5" s="65">
        <v>2020</v>
      </c>
      <c r="M5" s="65">
        <v>2021</v>
      </c>
      <c r="N5" s="65">
        <v>2022</v>
      </c>
      <c r="O5" s="65"/>
      <c r="P5" s="65"/>
      <c r="T5" s="65"/>
      <c r="U5" s="65"/>
      <c r="Y5" s="65"/>
      <c r="Z5" s="65"/>
    </row>
    <row r="6" spans="1:26" x14ac:dyDescent="0.25">
      <c r="A6" s="77" t="s">
        <v>61</v>
      </c>
      <c r="B6" s="77"/>
      <c r="C6" s="77"/>
      <c r="D6" s="34">
        <v>9023</v>
      </c>
      <c r="E6" s="34">
        <v>20839</v>
      </c>
      <c r="F6" s="34">
        <v>37101</v>
      </c>
      <c r="I6" s="65" t="s">
        <v>57</v>
      </c>
      <c r="J6" s="65"/>
      <c r="K6" s="65"/>
    </row>
    <row r="7" spans="1:26" x14ac:dyDescent="0.25">
      <c r="A7" s="77" t="s">
        <v>62</v>
      </c>
      <c r="B7" s="77"/>
      <c r="C7" s="77"/>
      <c r="D7" s="34">
        <v>2786</v>
      </c>
      <c r="E7" s="34">
        <v>7008</v>
      </c>
      <c r="F7" s="34">
        <v>16449</v>
      </c>
      <c r="I7" s="65" t="s">
        <v>26</v>
      </c>
      <c r="J7" s="65"/>
      <c r="K7" s="65"/>
      <c r="L7" s="71">
        <v>672316</v>
      </c>
      <c r="M7" s="71">
        <v>1375639</v>
      </c>
      <c r="N7" s="71">
        <v>103711</v>
      </c>
      <c r="O7" s="71"/>
      <c r="T7" s="71"/>
      <c r="Y7" s="71"/>
    </row>
    <row r="8" spans="1:26" x14ac:dyDescent="0.25">
      <c r="A8" s="77" t="s">
        <v>63</v>
      </c>
      <c r="B8" s="77"/>
      <c r="C8" s="77"/>
      <c r="D8" t="s">
        <v>64</v>
      </c>
      <c r="E8" t="s">
        <v>64</v>
      </c>
      <c r="F8" s="34">
        <v>6885</v>
      </c>
      <c r="I8" s="65" t="s">
        <v>126</v>
      </c>
      <c r="J8" s="65"/>
      <c r="K8" s="65"/>
    </row>
    <row r="9" spans="1:26" x14ac:dyDescent="0.25">
      <c r="A9" s="77" t="s">
        <v>65</v>
      </c>
      <c r="B9" s="77"/>
      <c r="C9" s="77"/>
      <c r="D9" s="34">
        <v>727</v>
      </c>
      <c r="E9" s="34">
        <v>1953</v>
      </c>
      <c r="F9" s="34">
        <v>6370</v>
      </c>
      <c r="I9" s="65" t="s">
        <v>60</v>
      </c>
      <c r="J9" s="65"/>
      <c r="K9" s="65"/>
      <c r="L9" s="72">
        <v>275818</v>
      </c>
      <c r="M9" s="72">
        <v>477287</v>
      </c>
      <c r="N9" s="72">
        <v>1285752</v>
      </c>
      <c r="O9" s="72"/>
      <c r="T9" s="72"/>
      <c r="Y9" s="72"/>
    </row>
    <row r="10" spans="1:26" x14ac:dyDescent="0.25">
      <c r="A10" s="77" t="s">
        <v>66</v>
      </c>
      <c r="B10" s="77"/>
      <c r="C10" s="77"/>
      <c r="D10" s="34">
        <v>95</v>
      </c>
      <c r="E10" s="34">
        <v>37</v>
      </c>
      <c r="F10" s="68">
        <v>-1068</v>
      </c>
      <c r="I10" s="65" t="s">
        <v>127</v>
      </c>
      <c r="J10" s="65"/>
      <c r="K10" s="65"/>
      <c r="L10" s="65" t="s">
        <v>64</v>
      </c>
      <c r="M10" s="73">
        <v>-327957</v>
      </c>
      <c r="N10" s="73">
        <v>-160961</v>
      </c>
      <c r="O10" s="73"/>
      <c r="T10" s="73"/>
      <c r="Y10" s="65"/>
    </row>
    <row r="11" spans="1:26" x14ac:dyDescent="0.25">
      <c r="A11" s="77" t="s">
        <v>67</v>
      </c>
      <c r="B11" s="77"/>
      <c r="C11" s="77"/>
      <c r="I11" s="65" t="s">
        <v>61</v>
      </c>
      <c r="J11" s="65"/>
      <c r="K11" s="65"/>
      <c r="L11" s="72">
        <v>104306</v>
      </c>
      <c r="M11" s="72">
        <v>177283</v>
      </c>
      <c r="N11" s="72">
        <v>259368</v>
      </c>
      <c r="O11" s="72"/>
      <c r="T11" s="72"/>
      <c r="Y11" s="72"/>
    </row>
    <row r="12" spans="1:26" x14ac:dyDescent="0.25">
      <c r="A12" s="77" t="s">
        <v>68</v>
      </c>
      <c r="B12" s="77"/>
      <c r="C12" s="77"/>
      <c r="D12" s="68">
        <v>-16560</v>
      </c>
      <c r="E12" s="68">
        <v>-41040</v>
      </c>
      <c r="F12" s="68">
        <v>-64715</v>
      </c>
      <c r="I12" s="65" t="s">
        <v>128</v>
      </c>
      <c r="J12" s="65"/>
      <c r="K12" s="65"/>
      <c r="L12" s="73">
        <v>-2538</v>
      </c>
      <c r="M12" s="73">
        <v>-43761</v>
      </c>
      <c r="N12" s="72">
        <v>37571</v>
      </c>
      <c r="O12" s="72"/>
      <c r="T12" s="73"/>
      <c r="Y12" s="73"/>
    </row>
    <row r="13" spans="1:26" x14ac:dyDescent="0.25">
      <c r="A13" s="77" t="s">
        <v>69</v>
      </c>
      <c r="B13" s="77"/>
      <c r="C13" s="77"/>
      <c r="D13" s="68">
        <v>-3443</v>
      </c>
      <c r="E13" s="68">
        <v>-7971</v>
      </c>
      <c r="F13" s="68">
        <v>-24805</v>
      </c>
      <c r="I13" s="65" t="s">
        <v>62</v>
      </c>
      <c r="J13" s="65"/>
      <c r="K13" s="65"/>
      <c r="L13" s="72">
        <v>28857</v>
      </c>
      <c r="M13" s="72">
        <v>48188</v>
      </c>
      <c r="N13" s="72">
        <v>82321</v>
      </c>
      <c r="O13" s="72"/>
      <c r="T13" s="72"/>
      <c r="Y13" s="72"/>
    </row>
    <row r="14" spans="1:26" x14ac:dyDescent="0.25">
      <c r="A14" s="77" t="s">
        <v>70</v>
      </c>
      <c r="B14" s="77"/>
      <c r="C14" s="77"/>
      <c r="D14" s="68">
        <v>-27470</v>
      </c>
      <c r="E14" s="68">
        <v>-45769</v>
      </c>
      <c r="F14" s="68">
        <v>-72714</v>
      </c>
      <c r="I14" s="65" t="s">
        <v>65</v>
      </c>
      <c r="J14" s="65"/>
      <c r="K14" s="65"/>
      <c r="L14" s="72">
        <v>32007</v>
      </c>
      <c r="M14" s="72">
        <v>36747</v>
      </c>
      <c r="N14" s="72">
        <v>50285</v>
      </c>
      <c r="O14" s="72"/>
      <c r="T14" s="72"/>
      <c r="Y14" s="72"/>
    </row>
    <row r="15" spans="1:26" x14ac:dyDescent="0.25">
      <c r="A15" s="77" t="s">
        <v>71</v>
      </c>
      <c r="B15" s="77"/>
      <c r="C15" s="77"/>
      <c r="D15" s="34">
        <v>1254</v>
      </c>
      <c r="E15" s="34">
        <v>832</v>
      </c>
      <c r="F15" s="68">
        <v>-2030</v>
      </c>
      <c r="I15" s="65" t="s">
        <v>63</v>
      </c>
      <c r="J15" s="65"/>
      <c r="K15" s="65"/>
      <c r="L15" s="72">
        <v>10887</v>
      </c>
      <c r="M15" s="72">
        <v>18387</v>
      </c>
      <c r="N15" s="72">
        <v>28933</v>
      </c>
      <c r="O15" s="72"/>
      <c r="T15" s="72"/>
      <c r="Y15" s="72"/>
    </row>
    <row r="16" spans="1:26" x14ac:dyDescent="0.25">
      <c r="A16" s="77" t="s">
        <v>72</v>
      </c>
      <c r="B16" s="77"/>
      <c r="C16" s="77"/>
      <c r="D16" s="34">
        <v>15011</v>
      </c>
      <c r="E16" s="34">
        <v>27407</v>
      </c>
      <c r="F16" s="34">
        <v>51179</v>
      </c>
      <c r="I16" s="65" t="s">
        <v>129</v>
      </c>
      <c r="J16" s="65"/>
      <c r="K16" s="65"/>
      <c r="L16" s="72">
        <v>23312</v>
      </c>
      <c r="M16" s="65" t="s">
        <v>64</v>
      </c>
      <c r="N16" s="65" t="s">
        <v>64</v>
      </c>
      <c r="O16" s="65"/>
      <c r="T16" s="65"/>
      <c r="Y16" s="72"/>
    </row>
    <row r="17" spans="1:25" x14ac:dyDescent="0.25">
      <c r="A17" s="77" t="s">
        <v>73</v>
      </c>
      <c r="B17" s="77"/>
      <c r="C17" s="77"/>
      <c r="D17" s="34">
        <v>31496</v>
      </c>
      <c r="E17" s="34">
        <v>71511</v>
      </c>
      <c r="F17" s="34">
        <v>106286</v>
      </c>
      <c r="I17" s="65" t="s">
        <v>130</v>
      </c>
      <c r="J17" s="65"/>
      <c r="K17" s="65"/>
      <c r="L17" s="72">
        <v>5433</v>
      </c>
      <c r="M17" s="72">
        <v>25316</v>
      </c>
      <c r="N17" s="72">
        <v>1206</v>
      </c>
      <c r="O17" s="72"/>
      <c r="T17" s="72"/>
      <c r="Y17" s="72"/>
    </row>
    <row r="18" spans="1:25" x14ac:dyDescent="0.25">
      <c r="A18" s="77" t="s">
        <v>74</v>
      </c>
      <c r="B18" s="77"/>
      <c r="C18" s="77"/>
      <c r="D18" t="s">
        <v>64</v>
      </c>
      <c r="E18" t="s">
        <v>64</v>
      </c>
      <c r="F18" s="68">
        <v>-5460</v>
      </c>
      <c r="I18" s="65" t="s">
        <v>66</v>
      </c>
      <c r="J18" s="65"/>
      <c r="K18" s="65"/>
      <c r="L18" s="72">
        <v>927</v>
      </c>
      <c r="M18" s="72">
        <v>4591</v>
      </c>
      <c r="N18" s="72">
        <v>14913</v>
      </c>
      <c r="O18" s="72"/>
      <c r="T18" s="72"/>
      <c r="Y18" s="72"/>
    </row>
    <row r="19" spans="1:25" x14ac:dyDescent="0.25">
      <c r="A19" s="77"/>
      <c r="B19" s="77"/>
      <c r="C19" s="77"/>
      <c r="I19" s="65" t="s">
        <v>67</v>
      </c>
      <c r="J19" s="65"/>
      <c r="K19" s="65"/>
    </row>
    <row r="20" spans="1:25" x14ac:dyDescent="0.25">
      <c r="A20" s="77" t="s">
        <v>75</v>
      </c>
      <c r="B20" s="77"/>
      <c r="C20" s="77"/>
      <c r="D20" s="34">
        <v>19426</v>
      </c>
      <c r="E20" s="34">
        <v>51332</v>
      </c>
      <c r="F20" s="34">
        <v>151892</v>
      </c>
      <c r="I20" s="65" t="s">
        <v>68</v>
      </c>
      <c r="J20" s="65"/>
      <c r="K20" s="65"/>
      <c r="L20" s="73">
        <v>-219039</v>
      </c>
      <c r="M20" s="73">
        <v>-159183</v>
      </c>
      <c r="N20" s="73">
        <v>-231845</v>
      </c>
      <c r="O20" s="73"/>
      <c r="T20" s="73"/>
      <c r="Y20" s="73"/>
    </row>
    <row r="21" spans="1:25" x14ac:dyDescent="0.25">
      <c r="A21" s="78" t="s">
        <v>76</v>
      </c>
      <c r="B21" s="78"/>
      <c r="C21" s="78"/>
      <c r="I21" s="65" t="s">
        <v>69</v>
      </c>
      <c r="J21" s="65"/>
      <c r="K21" s="65"/>
      <c r="L21" s="73">
        <v>-68521</v>
      </c>
      <c r="M21" s="73">
        <v>-155934</v>
      </c>
      <c r="N21" s="73">
        <v>-18066</v>
      </c>
      <c r="O21" s="73"/>
      <c r="T21" s="73"/>
      <c r="Y21" s="73"/>
    </row>
    <row r="22" spans="1:25" x14ac:dyDescent="0.25">
      <c r="A22" s="77" t="s">
        <v>77</v>
      </c>
      <c r="B22" s="77"/>
      <c r="C22" s="77"/>
      <c r="D22" s="68">
        <v>-143329</v>
      </c>
      <c r="E22" s="68">
        <v>-78016</v>
      </c>
      <c r="F22" s="68">
        <v>-800228</v>
      </c>
      <c r="I22" s="65" t="s">
        <v>70</v>
      </c>
      <c r="J22" s="65"/>
      <c r="K22" s="65"/>
      <c r="L22" s="73">
        <v>-307068</v>
      </c>
      <c r="M22" s="73">
        <v>-247371</v>
      </c>
      <c r="N22" s="73">
        <v>-298629</v>
      </c>
      <c r="O22" s="73"/>
      <c r="T22" s="73"/>
      <c r="Y22" s="73"/>
    </row>
    <row r="23" spans="1:25" x14ac:dyDescent="0.25">
      <c r="A23" s="77" t="s">
        <v>78</v>
      </c>
      <c r="B23" s="77"/>
      <c r="C23" s="77"/>
      <c r="D23" s="34">
        <v>39710</v>
      </c>
      <c r="E23" s="34">
        <v>68747</v>
      </c>
      <c r="F23" s="34">
        <v>343554</v>
      </c>
      <c r="I23" s="65" t="s">
        <v>71</v>
      </c>
      <c r="J23" s="65"/>
      <c r="K23" s="65"/>
      <c r="L23" s="72">
        <v>3481</v>
      </c>
      <c r="M23" s="73">
        <v>-2218</v>
      </c>
      <c r="N23" s="72">
        <v>11611</v>
      </c>
      <c r="O23" s="72"/>
      <c r="T23" s="73"/>
      <c r="Y23" s="72"/>
    </row>
    <row r="24" spans="1:25" x14ac:dyDescent="0.25">
      <c r="A24" s="77" t="s">
        <v>79</v>
      </c>
      <c r="B24" s="77"/>
      <c r="C24" s="77"/>
      <c r="D24" s="68">
        <v>-9738</v>
      </c>
      <c r="E24" s="68">
        <v>-28432</v>
      </c>
      <c r="F24" s="68">
        <v>-38084</v>
      </c>
      <c r="I24" s="65" t="s">
        <v>72</v>
      </c>
      <c r="J24" s="65"/>
      <c r="K24" s="65"/>
      <c r="L24" s="72">
        <v>251654</v>
      </c>
      <c r="M24" s="72">
        <v>101369</v>
      </c>
      <c r="N24" s="72">
        <v>20530</v>
      </c>
      <c r="O24" s="72"/>
      <c r="T24" s="72"/>
      <c r="Y24" s="72"/>
    </row>
    <row r="25" spans="1:25" x14ac:dyDescent="0.25">
      <c r="A25" s="77" t="s">
        <v>80</v>
      </c>
      <c r="B25" s="77"/>
      <c r="C25" s="77"/>
      <c r="D25" t="s">
        <v>64</v>
      </c>
      <c r="E25" t="s">
        <v>64</v>
      </c>
      <c r="F25" s="68">
        <v>-3000</v>
      </c>
      <c r="I25" s="65" t="s">
        <v>73</v>
      </c>
      <c r="J25" s="65"/>
      <c r="K25" s="65"/>
      <c r="L25" s="72">
        <v>665724</v>
      </c>
      <c r="M25" s="72">
        <v>293887</v>
      </c>
      <c r="N25" s="72">
        <v>127401</v>
      </c>
      <c r="O25" s="72"/>
      <c r="T25" s="72"/>
      <c r="Y25" s="72"/>
    </row>
    <row r="26" spans="1:25" x14ac:dyDescent="0.25">
      <c r="A26" s="77" t="s">
        <v>81</v>
      </c>
      <c r="B26" s="77"/>
      <c r="C26" s="77"/>
      <c r="D26" t="s">
        <v>64</v>
      </c>
      <c r="E26" t="s">
        <v>64</v>
      </c>
      <c r="F26" s="68">
        <v>-1569</v>
      </c>
      <c r="I26" s="65" t="s">
        <v>74</v>
      </c>
      <c r="J26" s="65"/>
      <c r="K26" s="65"/>
      <c r="L26" s="73">
        <v>-6379</v>
      </c>
      <c r="M26" s="73">
        <v>-17004</v>
      </c>
      <c r="N26" s="73">
        <v>-23839</v>
      </c>
      <c r="O26" s="73"/>
      <c r="T26" s="73"/>
      <c r="Y26" s="73"/>
    </row>
    <row r="27" spans="1:25" x14ac:dyDescent="0.25">
      <c r="A27" s="77" t="s">
        <v>82</v>
      </c>
      <c r="B27" s="77"/>
      <c r="C27" s="77"/>
      <c r="D27" t="s">
        <v>64</v>
      </c>
      <c r="E27" s="68">
        <v>-2018</v>
      </c>
      <c r="F27" s="68">
        <v>-141</v>
      </c>
    </row>
    <row r="28" spans="1:25" x14ac:dyDescent="0.25">
      <c r="A28" s="77" t="s">
        <v>83</v>
      </c>
      <c r="B28" s="77"/>
      <c r="C28" s="77"/>
      <c r="D28" s="68">
        <v>-113357</v>
      </c>
      <c r="E28" s="68">
        <v>-39719</v>
      </c>
      <c r="F28" s="68">
        <v>-499468</v>
      </c>
      <c r="I28" s="65" t="s">
        <v>75</v>
      </c>
      <c r="J28" s="65"/>
      <c r="K28" s="65"/>
      <c r="L28" s="72">
        <v>1471177</v>
      </c>
      <c r="M28" s="72">
        <v>1605266</v>
      </c>
      <c r="N28" s="72">
        <v>1290262</v>
      </c>
      <c r="O28" s="72"/>
      <c r="T28" s="72"/>
      <c r="Y28" s="72"/>
    </row>
    <row r="29" spans="1:25" x14ac:dyDescent="0.25">
      <c r="A29" s="78" t="s">
        <v>84</v>
      </c>
      <c r="B29" s="78"/>
      <c r="C29" s="78"/>
      <c r="I29" s="65" t="s">
        <v>76</v>
      </c>
      <c r="J29" s="65"/>
      <c r="K29" s="65"/>
    </row>
    <row r="30" spans="1:25" x14ac:dyDescent="0.25">
      <c r="A30" s="77" t="s">
        <v>85</v>
      </c>
      <c r="B30" s="77"/>
      <c r="C30" s="77"/>
      <c r="D30" t="s">
        <v>64</v>
      </c>
      <c r="E30" s="68">
        <v>-939</v>
      </c>
      <c r="F30" s="34">
        <v>542492</v>
      </c>
      <c r="I30" s="65" t="s">
        <v>77</v>
      </c>
      <c r="J30" s="65"/>
      <c r="K30" s="65"/>
      <c r="L30" s="73">
        <v>-2056470</v>
      </c>
      <c r="M30" s="73">
        <v>-4434749</v>
      </c>
      <c r="N30" s="73">
        <v>-2849121</v>
      </c>
      <c r="O30" s="73"/>
      <c r="T30" s="73"/>
      <c r="Y30" s="73"/>
    </row>
    <row r="31" spans="1:25" x14ac:dyDescent="0.25">
      <c r="A31" s="77" t="s">
        <v>86</v>
      </c>
      <c r="B31" s="77"/>
      <c r="C31" s="77"/>
      <c r="D31" t="s">
        <v>64</v>
      </c>
      <c r="E31" t="s">
        <v>64</v>
      </c>
      <c r="F31" s="34">
        <v>48547</v>
      </c>
      <c r="I31" s="65" t="s">
        <v>78</v>
      </c>
      <c r="J31" s="65"/>
      <c r="K31" s="65"/>
      <c r="L31" s="72">
        <v>580795</v>
      </c>
      <c r="M31" s="72">
        <v>1733043</v>
      </c>
      <c r="N31" s="72">
        <v>2835196</v>
      </c>
      <c r="O31" s="72"/>
      <c r="T31" s="72"/>
      <c r="Y31" s="72"/>
    </row>
    <row r="32" spans="1:25" x14ac:dyDescent="0.25">
      <c r="A32" s="77" t="s">
        <v>87</v>
      </c>
      <c r="B32" s="77"/>
      <c r="C32" s="77"/>
      <c r="D32" t="s">
        <v>64</v>
      </c>
      <c r="E32" t="s">
        <v>64</v>
      </c>
      <c r="F32" s="34">
        <v>15482</v>
      </c>
      <c r="I32" s="65" t="s">
        <v>131</v>
      </c>
      <c r="J32" s="65"/>
      <c r="K32" s="65"/>
      <c r="L32" s="72">
        <v>36897</v>
      </c>
      <c r="M32" s="72">
        <v>296867</v>
      </c>
      <c r="N32" s="65" t="s">
        <v>64</v>
      </c>
      <c r="O32" s="65"/>
      <c r="T32" s="72"/>
      <c r="Y32" s="72"/>
    </row>
    <row r="33" spans="1:25" x14ac:dyDescent="0.25">
      <c r="A33" s="77" t="s">
        <v>88</v>
      </c>
      <c r="B33" s="77"/>
      <c r="C33" s="77"/>
      <c r="D33" s="34">
        <v>733</v>
      </c>
      <c r="E33" s="34">
        <v>3565</v>
      </c>
      <c r="F33" s="34">
        <v>9169</v>
      </c>
      <c r="I33" s="65" t="s">
        <v>79</v>
      </c>
      <c r="J33" s="65"/>
      <c r="K33" s="65"/>
      <c r="L33" s="73">
        <v>-79972</v>
      </c>
      <c r="M33" s="73">
        <v>-132590</v>
      </c>
      <c r="N33" s="73">
        <v>-103826</v>
      </c>
      <c r="O33" s="73"/>
      <c r="T33" s="73"/>
      <c r="Y33" s="73"/>
    </row>
    <row r="34" spans="1:25" x14ac:dyDescent="0.25">
      <c r="A34" s="77" t="s">
        <v>89</v>
      </c>
      <c r="B34" s="77"/>
      <c r="C34" s="77"/>
      <c r="D34" t="s">
        <v>64</v>
      </c>
      <c r="E34" s="34">
        <v>15000</v>
      </c>
      <c r="F34" t="s">
        <v>64</v>
      </c>
      <c r="I34" s="65" t="s">
        <v>132</v>
      </c>
      <c r="J34" s="65"/>
      <c r="K34" s="65"/>
      <c r="L34" s="73">
        <v>-13000</v>
      </c>
      <c r="M34" s="73">
        <v>-305149</v>
      </c>
      <c r="N34" s="73">
        <v>-69050</v>
      </c>
      <c r="O34" s="73"/>
      <c r="T34" s="73"/>
      <c r="Y34" s="73"/>
    </row>
    <row r="35" spans="1:25" x14ac:dyDescent="0.25">
      <c r="A35" s="77" t="s">
        <v>90</v>
      </c>
      <c r="B35" s="77"/>
      <c r="C35" s="77"/>
      <c r="D35" s="68">
        <v>-120</v>
      </c>
      <c r="E35" s="68">
        <v>-92</v>
      </c>
      <c r="F35" t="s">
        <v>64</v>
      </c>
    </row>
    <row r="36" spans="1:25" x14ac:dyDescent="0.25">
      <c r="A36" s="77" t="s">
        <v>91</v>
      </c>
      <c r="B36" s="77"/>
      <c r="C36" s="77"/>
      <c r="D36" s="68">
        <v>-4610</v>
      </c>
      <c r="E36" t="s">
        <v>64</v>
      </c>
      <c r="F36" t="s">
        <v>64</v>
      </c>
      <c r="I36" s="65" t="s">
        <v>133</v>
      </c>
      <c r="J36" s="65"/>
      <c r="K36" s="65"/>
      <c r="L36" s="73">
        <v>-26486</v>
      </c>
      <c r="M36" s="73">
        <v>-3501</v>
      </c>
      <c r="N36" s="73">
        <v>-120553</v>
      </c>
      <c r="O36" s="73"/>
      <c r="T36" s="73"/>
      <c r="Y36" s="73"/>
    </row>
    <row r="37" spans="1:25" x14ac:dyDescent="0.25">
      <c r="A37" s="77" t="s">
        <v>92</v>
      </c>
      <c r="B37" s="77"/>
      <c r="C37" s="77"/>
      <c r="D37" s="68">
        <v>-3997</v>
      </c>
      <c r="E37" s="34">
        <v>17534</v>
      </c>
      <c r="F37" s="34">
        <v>615690</v>
      </c>
      <c r="I37" s="65" t="s">
        <v>82</v>
      </c>
      <c r="J37" s="65"/>
      <c r="K37" s="65"/>
      <c r="L37" s="73">
        <v>-5843</v>
      </c>
      <c r="M37" s="73">
        <v>-13018</v>
      </c>
      <c r="N37" s="73">
        <v>-11268</v>
      </c>
      <c r="O37" s="73"/>
      <c r="T37" s="73"/>
      <c r="Y37" s="73"/>
    </row>
    <row r="38" spans="1:25" x14ac:dyDescent="0.25">
      <c r="A38" s="77" t="s">
        <v>93</v>
      </c>
      <c r="B38" s="77"/>
      <c r="C38" s="77"/>
      <c r="D38" s="68">
        <v>-97928</v>
      </c>
      <c r="E38" s="34">
        <v>29147</v>
      </c>
      <c r="F38" s="34">
        <v>268114</v>
      </c>
    </row>
    <row r="39" spans="1:25" x14ac:dyDescent="0.25">
      <c r="A39" s="77" t="s">
        <v>94</v>
      </c>
      <c r="B39" s="77"/>
      <c r="C39" s="77"/>
      <c r="D39" s="34">
        <v>134749</v>
      </c>
      <c r="E39" s="34">
        <v>36821</v>
      </c>
      <c r="F39" s="34">
        <v>65968</v>
      </c>
      <c r="I39" s="65" t="s">
        <v>66</v>
      </c>
      <c r="J39" s="65"/>
      <c r="K39" s="65"/>
      <c r="L39" s="72">
        <v>1659</v>
      </c>
      <c r="M39" s="65" t="s">
        <v>64</v>
      </c>
      <c r="N39" s="72">
        <v>300</v>
      </c>
      <c r="O39" s="72"/>
      <c r="T39" s="65"/>
      <c r="Y39" s="72"/>
    </row>
    <row r="40" spans="1:25" x14ac:dyDescent="0.25">
      <c r="A40" s="77" t="s">
        <v>95</v>
      </c>
      <c r="B40" s="77"/>
      <c r="C40" s="77"/>
      <c r="D40" s="67">
        <v>36821</v>
      </c>
      <c r="E40" s="67">
        <v>65968</v>
      </c>
      <c r="F40" s="67">
        <v>334082</v>
      </c>
      <c r="I40" s="65" t="s">
        <v>83</v>
      </c>
      <c r="J40" s="65"/>
      <c r="K40" s="65"/>
      <c r="L40" s="73">
        <v>-1562420</v>
      </c>
      <c r="M40" s="73">
        <v>-2859097</v>
      </c>
      <c r="N40" s="73">
        <v>-318322</v>
      </c>
      <c r="O40" s="73"/>
      <c r="T40" s="73"/>
      <c r="Y40" s="73"/>
    </row>
    <row r="41" spans="1:25" x14ac:dyDescent="0.25">
      <c r="I41" s="65" t="s">
        <v>84</v>
      </c>
      <c r="J41" s="65"/>
      <c r="K41" s="65"/>
    </row>
    <row r="42" spans="1:25" x14ac:dyDescent="0.25">
      <c r="I42" s="65" t="s">
        <v>134</v>
      </c>
      <c r="J42" s="65"/>
      <c r="K42" s="65"/>
      <c r="L42" s="65" t="s">
        <v>64</v>
      </c>
      <c r="M42" s="65" t="s">
        <v>64</v>
      </c>
      <c r="N42" s="73">
        <v>-1000003</v>
      </c>
      <c r="O42" s="73"/>
      <c r="T42" s="65"/>
      <c r="Y42" s="65"/>
    </row>
    <row r="43" spans="1:25" x14ac:dyDescent="0.25">
      <c r="I43" s="65" t="s">
        <v>87</v>
      </c>
      <c r="J43" s="65"/>
      <c r="K43" s="65"/>
      <c r="L43" s="72">
        <v>38433</v>
      </c>
      <c r="M43" s="72">
        <v>59331</v>
      </c>
      <c r="N43" s="72">
        <v>53710</v>
      </c>
      <c r="O43" s="72"/>
      <c r="T43" s="72"/>
      <c r="Y43" s="72"/>
    </row>
    <row r="44" spans="1:25" x14ac:dyDescent="0.25">
      <c r="I44" s="65" t="s">
        <v>135</v>
      </c>
      <c r="J44" s="65"/>
      <c r="K44" s="65"/>
      <c r="L44" s="72">
        <v>28550</v>
      </c>
      <c r="M44" s="72">
        <v>14404</v>
      </c>
      <c r="N44" s="72">
        <v>8577</v>
      </c>
      <c r="O44" s="72"/>
      <c r="T44" s="72"/>
      <c r="Y44" s="72"/>
    </row>
    <row r="45" spans="1:25" x14ac:dyDescent="0.25">
      <c r="I45" s="65" t="s">
        <v>136</v>
      </c>
      <c r="J45" s="65"/>
      <c r="K45" s="65"/>
      <c r="L45" s="72">
        <v>4088</v>
      </c>
      <c r="M45" s="73">
        <v>-40004</v>
      </c>
      <c r="N45" s="72">
        <v>774</v>
      </c>
      <c r="O45" s="72"/>
      <c r="T45" s="73"/>
      <c r="Y45" s="72"/>
    </row>
    <row r="46" spans="1:25" x14ac:dyDescent="0.25">
      <c r="I46" s="65" t="s">
        <v>137</v>
      </c>
      <c r="J46" s="65"/>
      <c r="K46" s="65"/>
      <c r="L46" s="72">
        <v>1979206</v>
      </c>
      <c r="M46" s="65" t="s">
        <v>64</v>
      </c>
      <c r="N46" s="65" t="s">
        <v>64</v>
      </c>
      <c r="O46" s="65"/>
      <c r="T46" s="65"/>
      <c r="Y46" s="72"/>
    </row>
    <row r="48" spans="1:25" x14ac:dyDescent="0.25">
      <c r="I48" s="65" t="s">
        <v>66</v>
      </c>
      <c r="J48" s="65"/>
      <c r="K48" s="65"/>
      <c r="L48" s="65" t="s">
        <v>64</v>
      </c>
      <c r="M48" s="72">
        <v>337</v>
      </c>
      <c r="N48" s="65" t="s">
        <v>64</v>
      </c>
      <c r="O48" s="65"/>
      <c r="T48" s="72"/>
      <c r="Y48" s="65"/>
    </row>
    <row r="50" spans="9:25" x14ac:dyDescent="0.25">
      <c r="I50" s="65" t="s">
        <v>138</v>
      </c>
      <c r="J50" s="65"/>
      <c r="K50" s="65"/>
      <c r="L50" s="72">
        <v>2050277</v>
      </c>
      <c r="M50" s="72">
        <v>34068</v>
      </c>
      <c r="N50" s="73">
        <v>-936942</v>
      </c>
      <c r="O50" s="73"/>
      <c r="T50" s="72"/>
      <c r="Y50" s="72"/>
    </row>
    <row r="51" spans="9:25" x14ac:dyDescent="0.25">
      <c r="I51" s="65" t="s">
        <v>139</v>
      </c>
      <c r="J51" s="65"/>
      <c r="K51" s="65"/>
      <c r="L51" s="65" t="s">
        <v>64</v>
      </c>
      <c r="M51" s="65" t="s">
        <v>64</v>
      </c>
      <c r="N51" s="73">
        <v>-8108</v>
      </c>
      <c r="O51" s="73"/>
      <c r="T51" s="65"/>
      <c r="Y51" s="65"/>
    </row>
    <row r="52" spans="9:25" x14ac:dyDescent="0.25">
      <c r="I52" s="65" t="s">
        <v>93</v>
      </c>
      <c r="J52" s="65"/>
      <c r="K52" s="65"/>
      <c r="L52" s="72">
        <v>1959034</v>
      </c>
      <c r="M52" s="73">
        <v>-1219763</v>
      </c>
      <c r="N52" s="72">
        <v>26890</v>
      </c>
      <c r="O52" s="72"/>
      <c r="T52" s="73"/>
      <c r="Y52" s="72"/>
    </row>
    <row r="53" spans="9:25" x14ac:dyDescent="0.25">
      <c r="I53" s="65" t="s">
        <v>140</v>
      </c>
      <c r="J53" s="65"/>
      <c r="K53" s="65"/>
      <c r="L53" s="72">
        <v>334082</v>
      </c>
      <c r="M53" s="72">
        <v>2293116</v>
      </c>
      <c r="N53" s="72">
        <v>1073353</v>
      </c>
      <c r="O53" s="72"/>
      <c r="T53" s="72"/>
      <c r="Y53" s="72"/>
    </row>
    <row r="54" spans="9:25" x14ac:dyDescent="0.25">
      <c r="I54" s="65" t="s">
        <v>141</v>
      </c>
      <c r="J54" s="65"/>
      <c r="K54" s="65"/>
      <c r="L54" s="71">
        <v>2293116</v>
      </c>
      <c r="M54" s="71">
        <v>1073353</v>
      </c>
      <c r="N54" s="71">
        <v>1100243</v>
      </c>
      <c r="O54" s="71"/>
      <c r="T54" s="71"/>
      <c r="Y54" s="71"/>
    </row>
  </sheetData>
  <mergeCells count="40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H9" sqref="H9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'ZM DCF'!P44</f>
        <v>0.22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76">
        <v>0.8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'ZM DCF'!D70</f>
        <v>21824897.656950001</v>
      </c>
      <c r="D12" s="2"/>
      <c r="E12" s="2" t="s">
        <v>35</v>
      </c>
      <c r="F12" s="2"/>
      <c r="G12" s="21">
        <f>'ZM DCF'!D67</f>
        <v>1827373</v>
      </c>
      <c r="H12" s="2"/>
      <c r="I12" s="2" t="s">
        <v>47</v>
      </c>
      <c r="J12" s="2"/>
      <c r="K12" s="21">
        <f>G12+C12</f>
        <v>23652270.656950001</v>
      </c>
      <c r="L12" s="2"/>
    </row>
    <row r="13" spans="1:14" x14ac:dyDescent="0.25">
      <c r="A13" s="2" t="s">
        <v>48</v>
      </c>
      <c r="B13" s="2"/>
      <c r="C13" s="41">
        <f>C12/K12</f>
        <v>0.92274006049972868</v>
      </c>
      <c r="D13" s="2"/>
      <c r="E13" s="2" t="s">
        <v>49</v>
      </c>
      <c r="F13" s="2"/>
      <c r="G13" s="42">
        <f>G12/K12</f>
        <v>7.7259939500271338E-2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8.4999999999999992E-2</v>
      </c>
      <c r="D14" s="2"/>
      <c r="E14" s="2" t="s">
        <v>51</v>
      </c>
      <c r="F14" s="2"/>
      <c r="G14" s="44">
        <v>0.02</v>
      </c>
      <c r="H14" s="2"/>
      <c r="I14" s="45" t="s">
        <v>1</v>
      </c>
      <c r="J14" s="46"/>
      <c r="K14" s="63">
        <f>C13*C14+G14*G13*(1-D6)</f>
        <v>7.9638160198681168E-2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ZM DCF</vt:lpstr>
      <vt:lpstr>Sheet1</vt:lpstr>
      <vt:lpstr>Sheet2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2023-08-03T15:55:54Z</dcterms:modified>
</cp:coreProperties>
</file>