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7063BB53-DD3D-4F48-9F39-61C2B573D2DD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NVDA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5" i="1" l="1"/>
  <c r="L66" i="1" s="1"/>
  <c r="L63" i="1"/>
  <c r="L62" i="1" s="1"/>
  <c r="N61" i="1"/>
  <c r="M61" i="1" s="1"/>
  <c r="P61" i="1"/>
  <c r="Q61" i="1" s="1"/>
  <c r="C14" i="2" l="1"/>
  <c r="D66" i="1"/>
  <c r="H54" i="1"/>
  <c r="D62" i="1"/>
  <c r="H53" i="1"/>
  <c r="C38" i="1"/>
  <c r="D41" i="1"/>
  <c r="E41" i="1"/>
  <c r="F41" i="1"/>
  <c r="G41" i="1"/>
  <c r="H41" i="1"/>
  <c r="C41" i="1"/>
  <c r="J30" i="1"/>
  <c r="J33" i="1" s="1"/>
  <c r="L30" i="1"/>
  <c r="L33" i="1" s="1"/>
  <c r="C30" i="1"/>
  <c r="J28" i="1"/>
  <c r="K28" i="1"/>
  <c r="L28" i="1"/>
  <c r="I28" i="1"/>
  <c r="J27" i="1"/>
  <c r="K27" i="1"/>
  <c r="L27" i="1"/>
  <c r="I27" i="1"/>
  <c r="J26" i="1"/>
  <c r="K26" i="1"/>
  <c r="L26" i="1"/>
  <c r="I26" i="1"/>
  <c r="J22" i="1"/>
  <c r="K22" i="1"/>
  <c r="L22" i="1"/>
  <c r="I22" i="1"/>
  <c r="J19" i="1"/>
  <c r="K19" i="1"/>
  <c r="K30" i="1" s="1"/>
  <c r="L19" i="1"/>
  <c r="I19" i="1"/>
  <c r="I30" i="1" s="1"/>
  <c r="D23" i="1"/>
  <c r="E23" i="1"/>
  <c r="F23" i="1"/>
  <c r="G23" i="1"/>
  <c r="H23" i="1"/>
  <c r="C23" i="1"/>
  <c r="D20" i="1"/>
  <c r="E20" i="1"/>
  <c r="F20" i="1"/>
  <c r="G20" i="1"/>
  <c r="H20" i="1"/>
  <c r="C20" i="1"/>
  <c r="H30" i="1"/>
  <c r="H12" i="1"/>
  <c r="G30" i="1"/>
  <c r="G31" i="1" s="1"/>
  <c r="F30" i="1"/>
  <c r="E30" i="1"/>
  <c r="E31" i="1" s="1"/>
  <c r="D30" i="1"/>
  <c r="C31" i="1"/>
  <c r="C12" i="2"/>
  <c r="I11" i="1"/>
  <c r="J11" i="1" s="1"/>
  <c r="K11" i="1" s="1"/>
  <c r="K47" i="1" s="1"/>
  <c r="E48" i="1"/>
  <c r="D48" i="1"/>
  <c r="C48" i="1"/>
  <c r="F48" i="1"/>
  <c r="G48" i="1"/>
  <c r="H48" i="1"/>
  <c r="F45" i="1"/>
  <c r="H45" i="1"/>
  <c r="C45" i="1"/>
  <c r="D51" i="1"/>
  <c r="C51" i="1"/>
  <c r="D45" i="1"/>
  <c r="D16" i="1"/>
  <c r="D17" i="1" s="1"/>
  <c r="E16" i="1"/>
  <c r="C16" i="1"/>
  <c r="F51" i="1"/>
  <c r="G51" i="1"/>
  <c r="H51" i="1"/>
  <c r="G45" i="1"/>
  <c r="E45" i="1"/>
  <c r="F16" i="1"/>
  <c r="F17" i="1" s="1"/>
  <c r="G16" i="1"/>
  <c r="H16" i="1"/>
  <c r="H33" i="1" s="1"/>
  <c r="H35" i="1" s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K33" i="1" l="1"/>
  <c r="K31" i="1"/>
  <c r="J37" i="1"/>
  <c r="J38" i="1" s="1"/>
  <c r="J35" i="1"/>
  <c r="L37" i="1"/>
  <c r="L38" i="1" s="1"/>
  <c r="L35" i="1"/>
  <c r="L31" i="1"/>
  <c r="J31" i="1"/>
  <c r="I31" i="1"/>
  <c r="I33" i="1"/>
  <c r="H17" i="1"/>
  <c r="J44" i="1"/>
  <c r="J47" i="1"/>
  <c r="I44" i="1"/>
  <c r="K44" i="1"/>
  <c r="I47" i="1"/>
  <c r="I50" i="1"/>
  <c r="E51" i="1"/>
  <c r="J51" i="1" s="1"/>
  <c r="K51" i="1" s="1"/>
  <c r="K12" i="2"/>
  <c r="C13" i="2" s="1"/>
  <c r="I16" i="1"/>
  <c r="C33" i="1"/>
  <c r="D33" i="1"/>
  <c r="G33" i="1"/>
  <c r="E33" i="1"/>
  <c r="G37" i="1"/>
  <c r="G53" i="1" s="1"/>
  <c r="G56" i="1" s="1"/>
  <c r="G17" i="1"/>
  <c r="C17" i="1"/>
  <c r="E17" i="1"/>
  <c r="H31" i="1"/>
  <c r="F33" i="1"/>
  <c r="F31" i="1"/>
  <c r="D31" i="1"/>
  <c r="K37" i="1" l="1"/>
  <c r="K38" i="1" s="1"/>
  <c r="K35" i="1"/>
  <c r="I37" i="1"/>
  <c r="I38" i="1" s="1"/>
  <c r="I35" i="1"/>
  <c r="G35" i="1"/>
  <c r="G54" i="1" s="1"/>
  <c r="C35" i="1"/>
  <c r="C54" i="1" s="1"/>
  <c r="F35" i="1"/>
  <c r="F54" i="1" s="1"/>
  <c r="E35" i="1"/>
  <c r="E54" i="1" s="1"/>
  <c r="D35" i="1"/>
  <c r="D54" i="1" s="1"/>
  <c r="C37" i="1"/>
  <c r="C53" i="1" s="1"/>
  <c r="C56" i="1" s="1"/>
  <c r="I14" i="1"/>
  <c r="I40" i="1"/>
  <c r="G13" i="2"/>
  <c r="K14" i="2" s="1"/>
  <c r="E5" i="1" s="1"/>
  <c r="E37" i="1"/>
  <c r="E53" i="1" s="1"/>
  <c r="E56" i="1" s="1"/>
  <c r="L51" i="1"/>
  <c r="D37" i="1"/>
  <c r="F37" i="1"/>
  <c r="F53" i="1" s="1"/>
  <c r="F56" i="1" s="1"/>
  <c r="H37" i="1"/>
  <c r="H56" i="1" s="1"/>
  <c r="J40" i="1"/>
  <c r="J50" i="1"/>
  <c r="J16" i="1"/>
  <c r="G38" i="1"/>
  <c r="J53" i="1" l="1"/>
  <c r="J54" i="1"/>
  <c r="I53" i="1"/>
  <c r="I56" i="1" s="1"/>
  <c r="I54" i="1"/>
  <c r="E38" i="1"/>
  <c r="D53" i="1"/>
  <c r="D56" i="1" s="1"/>
  <c r="J14" i="1"/>
  <c r="K16" i="1"/>
  <c r="K14" i="1" s="1"/>
  <c r="L11" i="1"/>
  <c r="K40" i="1"/>
  <c r="D38" i="1"/>
  <c r="H38" i="1"/>
  <c r="F38" i="1"/>
  <c r="M51" i="1"/>
  <c r="K50" i="1"/>
  <c r="I57" i="1" l="1"/>
  <c r="K53" i="1"/>
  <c r="K54" i="1"/>
  <c r="L50" i="1"/>
  <c r="L47" i="1"/>
  <c r="L44" i="1"/>
  <c r="J56" i="1"/>
  <c r="J57" i="1" s="1"/>
  <c r="N51" i="1"/>
  <c r="O51" i="1" s="1"/>
  <c r="L40" i="1"/>
  <c r="L16" i="1"/>
  <c r="M11" i="1"/>
  <c r="M28" i="1" l="1"/>
  <c r="M26" i="1"/>
  <c r="M19" i="1"/>
  <c r="M27" i="1"/>
  <c r="M22" i="1"/>
  <c r="L53" i="1"/>
  <c r="L54" i="1"/>
  <c r="M47" i="1"/>
  <c r="M44" i="1"/>
  <c r="K56" i="1"/>
  <c r="K57" i="1" s="1"/>
  <c r="L14" i="1"/>
  <c r="M16" i="1"/>
  <c r="N11" i="1"/>
  <c r="M50" i="1"/>
  <c r="P51" i="1"/>
  <c r="Q51" i="1" s="1"/>
  <c r="M14" i="1" l="1"/>
  <c r="M30" i="1"/>
  <c r="M31" i="1" s="1"/>
  <c r="N28" i="1"/>
  <c r="N27" i="1"/>
  <c r="N26" i="1"/>
  <c r="N22" i="1"/>
  <c r="N19" i="1"/>
  <c r="N50" i="1"/>
  <c r="N47" i="1"/>
  <c r="N44" i="1"/>
  <c r="L56" i="1"/>
  <c r="L57" i="1" s="1"/>
  <c r="R51" i="1"/>
  <c r="N16" i="1"/>
  <c r="O11" i="1"/>
  <c r="N14" i="1"/>
  <c r="M33" i="1" l="1"/>
  <c r="M37" i="1"/>
  <c r="M35" i="1"/>
  <c r="O28" i="1"/>
  <c r="O27" i="1"/>
  <c r="O26" i="1"/>
  <c r="O22" i="1"/>
  <c r="O19" i="1"/>
  <c r="N30" i="1"/>
  <c r="N31" i="1" s="1"/>
  <c r="O47" i="1"/>
  <c r="O44" i="1"/>
  <c r="O16" i="1"/>
  <c r="P11" i="1"/>
  <c r="O50" i="1"/>
  <c r="M38" i="1" l="1"/>
  <c r="M40" i="1"/>
  <c r="M54" i="1" s="1"/>
  <c r="M53" i="1"/>
  <c r="M56" i="1" s="1"/>
  <c r="M57" i="1" s="1"/>
  <c r="O14" i="1"/>
  <c r="O33" i="1"/>
  <c r="N33" i="1"/>
  <c r="P28" i="1"/>
  <c r="P27" i="1"/>
  <c r="P26" i="1"/>
  <c r="P22" i="1"/>
  <c r="P19" i="1"/>
  <c r="P30" i="1" s="1"/>
  <c r="P31" i="1" s="1"/>
  <c r="O30" i="1"/>
  <c r="O31" i="1" s="1"/>
  <c r="P47" i="1"/>
  <c r="P44" i="1"/>
  <c r="P16" i="1"/>
  <c r="Q11" i="1"/>
  <c r="P50" i="1"/>
  <c r="O37" i="1" l="1"/>
  <c r="O35" i="1"/>
  <c r="Q28" i="1"/>
  <c r="Q27" i="1"/>
  <c r="Q26" i="1"/>
  <c r="Q22" i="1"/>
  <c r="Q19" i="1"/>
  <c r="P33" i="1"/>
  <c r="N37" i="1"/>
  <c r="N35" i="1"/>
  <c r="Q47" i="1"/>
  <c r="Q44" i="1"/>
  <c r="P14" i="1"/>
  <c r="Q16" i="1"/>
  <c r="R11" i="1"/>
  <c r="Q50" i="1"/>
  <c r="R28" i="1" l="1"/>
  <c r="R27" i="1"/>
  <c r="R26" i="1"/>
  <c r="R22" i="1"/>
  <c r="R19" i="1"/>
  <c r="P37" i="1"/>
  <c r="P35" i="1"/>
  <c r="N38" i="1"/>
  <c r="N40" i="1"/>
  <c r="N54" i="1" s="1"/>
  <c r="Q30" i="1"/>
  <c r="Q31" i="1" s="1"/>
  <c r="O38" i="1"/>
  <c r="O40" i="1"/>
  <c r="O53" i="1" s="1"/>
  <c r="O56" i="1" s="1"/>
  <c r="O57" i="1" s="1"/>
  <c r="R47" i="1"/>
  <c r="R44" i="1"/>
  <c r="R16" i="1"/>
  <c r="R50" i="1"/>
  <c r="Q14" i="1"/>
  <c r="O54" i="1" l="1"/>
  <c r="P38" i="1"/>
  <c r="P40" i="1"/>
  <c r="P53" i="1" s="1"/>
  <c r="P56" i="1" s="1"/>
  <c r="P57" i="1" s="1"/>
  <c r="R14" i="1"/>
  <c r="Q33" i="1"/>
  <c r="N53" i="1"/>
  <c r="N56" i="1" s="1"/>
  <c r="N57" i="1" s="1"/>
  <c r="R30" i="1"/>
  <c r="R31" i="1" s="1"/>
  <c r="P54" i="1" l="1"/>
  <c r="R33" i="1"/>
  <c r="Q37" i="1"/>
  <c r="Q35" i="1"/>
  <c r="Q38" i="1" l="1"/>
  <c r="Q40" i="1"/>
  <c r="Q53" i="1" s="1"/>
  <c r="Q56" i="1" s="1"/>
  <c r="Q57" i="1" s="1"/>
  <c r="R37" i="1"/>
  <c r="R35" i="1"/>
  <c r="Q54" i="1" l="1"/>
  <c r="R38" i="1"/>
  <c r="R40" i="1"/>
  <c r="R54" i="1" s="1"/>
  <c r="R53" i="1" l="1"/>
  <c r="R56" i="1" s="1"/>
  <c r="S54" i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R57" i="1"/>
  <c r="C59" i="1"/>
  <c r="C60" i="1" s="1"/>
  <c r="G62" i="1" l="1"/>
  <c r="G64" i="1" s="1"/>
  <c r="G67" i="1" s="1"/>
  <c r="F59" i="1"/>
  <c r="H62" i="1" s="1"/>
  <c r="H64" i="1" s="1"/>
  <c r="H67" i="1" s="1"/>
  <c r="D67" i="1" l="1"/>
  <c r="L61" i="1" s="1"/>
  <c r="J6" i="1" l="1"/>
  <c r="N5" i="1" s="1"/>
</calcChain>
</file>

<file path=xl/sharedStrings.xml><?xml version="1.0" encoding="utf-8"?>
<sst xmlns="http://schemas.openxmlformats.org/spreadsheetml/2006/main" count="83" uniqueCount="59">
  <si>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</si>
  <si>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</si>
  <si>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</si>
  <si>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</si>
  <si>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</si>
  <si>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</si>
  <si>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</si>
  <si>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</si>
  <si>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</si>
  <si>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</si>
  <si>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</si>
  <si>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</si>
  <si>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</si>
  <si>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</si>
  <si>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</si>
  <si>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% Rev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</si>
  <si>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</si>
  <si>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</si>
  <si>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</si>
  <si>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</si>
  <si>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</si>
  <si>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</si>
  <si>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</si>
  <si>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</si>
  <si>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</si>
  <si>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</si>
  <si>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</si>
  <si>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</si>
  <si>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</si>
  <si>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</si>
  <si>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</si>
  <si>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</si>
  <si>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</si>
  <si>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</si>
  <si>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</si>
  <si>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</si>
  <si>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</si>
  <si>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</si>
  <si>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</si>
  <si>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</si>
  <si>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</si>
  <si>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</si>
  <si>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</si>
  <si>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Interest exp</t>
  </si>
  <si>
    <t>Interest inc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</si>
  <si>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</si>
  <si>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</si>
  <si>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</si>
  <si>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</si>
  <si>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</si>
  <si>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</si>
  <si>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</si>
  <si>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</si>
  <si>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</si>
  <si>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</si>
  <si>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</si>
  <si>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SG&amp;A</t>
  </si>
  <si>
    <t>NVIDIA Corp. DCF</t>
  </si>
  <si>
    <t xml:space="preserve">                                             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</si>
</sst>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9" fillId="2" borderId="4" xfId="1" applyNumberFormat="1" applyFont="1" applyFill="1" applyBorder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64" fontId="3" fillId="2" borderId="0" xfId="1" applyNumberFormat="1" applyFont="1" applyFill="1"/>
    <xf numFmtId="10" fontId="3" fillId="2" borderId="0" xfId="1" applyNumberFormat="1" applyFont="1" applyFill="1"/>
    <xf numFmtId="0" fontId="0" fillId="2" borderId="4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3" fontId="3" fillId="2" borderId="0" xfId="0" applyNumberFormat="1" applyFont="1" applyFill="1" applyBorder="1"/>
    <xf numFmtId="1" fontId="3" fillId="2" borderId="0" xfId="0" applyNumberFormat="1" applyFont="1" applyFill="1" applyBorder="1"/>
    <xf numFmtId="164" fontId="7" fillId="2" borderId="0" xfId="1" applyNumberFormat="1" applyFont="1" applyFill="1" applyBorder="1"/>
    <xf numFmtId="0" fontId="0" fillId="8" borderId="0" xfId="0" applyFill="1"/>
    <xf numFmtId="0" fontId="6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/>
    <xf numFmtId="164" fontId="0" fillId="8" borderId="0" xfId="0" applyNumberFormat="1" applyFill="1" applyBorder="1" applyAlignment="1">
      <alignment horizontal="left"/>
    </xf>
    <xf numFmtId="164" fontId="0" fillId="8" borderId="0" xfId="1" applyNumberFormat="1" applyFont="1" applyFill="1" applyBorder="1" applyAlignment="1">
      <alignment horizontal="left"/>
    </xf>
    <xf numFmtId="164" fontId="3" fillId="8" borderId="0" xfId="1" applyNumberFormat="1" applyFont="1" applyFill="1" applyBorder="1" applyAlignment="1">
      <alignment horizontal="left"/>
    </xf>
    <xf numFmtId="0" fontId="3" fillId="2" borderId="0" xfId="0" applyFont="1" applyFill="1" applyBorder="1"/>
    <xf numFmtId="0" fontId="0" fillId="2" borderId="0" xfId="0" applyFill="1" applyBorder="1"/>
    <xf numFmtId="3" fontId="3" fillId="8" borderId="0" xfId="0" applyNumberFormat="1" applyFont="1" applyFill="1" applyBorder="1"/>
    <xf numFmtId="164" fontId="8" fillId="2" borderId="0" xfId="1" applyNumberFormat="1" applyFont="1" applyFill="1" applyBorder="1"/>
    <xf numFmtId="10" fontId="8" fillId="2" borderId="0" xfId="0" applyNumberFormat="1" applyFont="1" applyFill="1" applyBorder="1"/>
    <xf numFmtId="164" fontId="9" fillId="2" borderId="0" xfId="1" applyNumberFormat="1" applyFont="1" applyFill="1" applyBorder="1"/>
    <xf numFmtId="164" fontId="3" fillId="2" borderId="0" xfId="0" applyNumberFormat="1" applyFont="1" applyFill="1" applyBorder="1"/>
    <xf numFmtId="0" fontId="6" fillId="4" borderId="4" xfId="0" applyFont="1" applyFill="1" applyBorder="1"/>
    <xf numFmtId="164" fontId="8" fillId="2" borderId="4" xfId="1" applyNumberFormat="1" applyFont="1" applyFill="1" applyBorder="1"/>
    <xf numFmtId="10" fontId="8" fillId="2" borderId="4" xfId="0" applyNumberFormat="1" applyFont="1" applyFill="1" applyBorder="1"/>
    <xf numFmtId="10" fontId="3" fillId="2" borderId="4" xfId="1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64" fontId="3" fillId="2" borderId="4" xfId="0" applyNumberFormat="1" applyFont="1" applyFill="1" applyBorder="1"/>
    <xf numFmtId="3" fontId="3" fillId="0" borderId="4" xfId="0" applyNumberFormat="1" applyFont="1" applyBorder="1"/>
    <xf numFmtId="1" fontId="3" fillId="2" borderId="13" xfId="0" applyNumberFormat="1" applyFont="1" applyFill="1" applyBorder="1"/>
    <xf numFmtId="1" fontId="3" fillId="2" borderId="14" xfId="0" applyNumberFormat="1" applyFont="1" applyFill="1" applyBorder="1"/>
    <xf numFmtId="1" fontId="3" fillId="2" borderId="1" xfId="0" applyNumberFormat="1" applyFont="1" applyFill="1" applyBorder="1"/>
    <xf numFmtId="164" fontId="3" fillId="2" borderId="0" xfId="0" applyNumberFormat="1" applyFont="1" applyFill="1" applyBorder="1" applyAlignment="1">
      <alignment horizontal="center"/>
    </xf>
    <xf numFmtId="2" fontId="0" fillId="2" borderId="0" xfId="0" applyNumberFormat="1" applyFill="1"/>
    <xf numFmtId="2" fontId="0" fillId="3" borderId="0" xfId="0" applyNumberFormat="1" applyFill="1"/>
    <xf numFmtId="2" fontId="11" fillId="10" borderId="0" xfId="0" applyNumberFormat="1" applyFont="1" applyFill="1"/>
    <xf numFmtId="2" fontId="3" fillId="2" borderId="0" xfId="0" applyNumberFormat="1" applyFont="1" applyFill="1"/>
    <xf numFmtId="1" fontId="3" fillId="2" borderId="6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7"/>
  <sheetViews>
    <sheetView tabSelected="1" topLeftCell="A55" workbookViewId="0">
      <selection activeCell="I70" sqref="I70"/>
    </sheetView>
  </sheetViews>
  <sheetFormatPr defaultRowHeight="15" x14ac:dyDescent="0.25"/>
  <cols>
    <col min="1" max="1" width="9.140625" style="2"/>
    <col min="2" max="2" width="19.5703125" style="2" customWidth="1"/>
    <col min="3" max="16384" width="9.140625" style="2"/>
  </cols>
  <sheetData>
    <row r="1" spans="1:86" s="60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86" s="60" customFormat="1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5"/>
    </row>
    <row r="3" spans="1:86" s="60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86" s="60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86" s="60" customFormat="1" x14ac:dyDescent="0.25">
      <c r="A5" s="1"/>
      <c r="B5" s="1"/>
      <c r="C5" s="7" t="s">
        <v>1</v>
      </c>
      <c r="D5" s="1"/>
      <c r="E5" s="86">
        <f>WACC!K14</f>
        <v>0.1273807278180622</v>
      </c>
      <c r="F5" s="2"/>
      <c r="G5" s="1"/>
      <c r="H5" s="1" t="s">
        <v>2</v>
      </c>
      <c r="I5" s="1"/>
      <c r="J5" s="7">
        <v>274.89999999999998</v>
      </c>
      <c r="K5" s="1"/>
      <c r="L5" s="1" t="s">
        <v>3</v>
      </c>
      <c r="M5" s="1"/>
      <c r="N5" s="7">
        <f>(J6/J5)-1</f>
        <v>-0.4974721617827883</v>
      </c>
      <c r="O5" s="1"/>
      <c r="P5" s="1"/>
      <c r="Q5" s="1"/>
      <c r="R5" s="2"/>
    </row>
    <row r="6" spans="1:86" s="60" customFormat="1" x14ac:dyDescent="0.25">
      <c r="A6" s="1"/>
      <c r="B6" s="1"/>
      <c r="C6" s="7" t="s">
        <v>4</v>
      </c>
      <c r="D6" s="1"/>
      <c r="E6" s="86">
        <v>0.05</v>
      </c>
      <c r="F6" s="2"/>
      <c r="G6" s="1"/>
      <c r="H6" s="1" t="s">
        <v>5</v>
      </c>
      <c r="I6" s="1"/>
      <c r="J6" s="7">
        <f>D67</f>
        <v>138.14490272591149</v>
      </c>
      <c r="K6" s="1"/>
      <c r="L6" s="1"/>
      <c r="M6" s="1"/>
      <c r="N6" s="1"/>
      <c r="O6" s="1"/>
      <c r="P6" s="1"/>
      <c r="Q6" s="1"/>
      <c r="R6" s="2"/>
    </row>
    <row r="7" spans="1:86" s="60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</row>
    <row r="8" spans="1:86" s="60" customFormat="1" x14ac:dyDescent="0.25">
      <c r="A8" s="1"/>
      <c r="B8" s="11"/>
      <c r="C8" s="1"/>
      <c r="D8" s="1"/>
      <c r="E8" s="42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2"/>
    </row>
    <row r="9" spans="1:86" s="60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s="60" customFormat="1" x14ac:dyDescent="0.25">
      <c r="A10" s="1"/>
      <c r="B10" s="9" t="s">
        <v>6</v>
      </c>
      <c r="C10" s="9">
        <v>2018</v>
      </c>
      <c r="D10" s="9">
        <v>2019</v>
      </c>
      <c r="E10" s="9">
        <v>2020</v>
      </c>
      <c r="F10" s="10">
        <v>2021</v>
      </c>
      <c r="G10" s="9">
        <v>2022</v>
      </c>
      <c r="H10" s="9">
        <v>2023</v>
      </c>
      <c r="I10" s="75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61">
        <v>2033</v>
      </c>
      <c r="T10" s="61">
        <v>2034</v>
      </c>
      <c r="U10" s="61">
        <v>2035</v>
      </c>
      <c r="V10" s="61">
        <v>2036</v>
      </c>
      <c r="W10" s="61">
        <v>2037</v>
      </c>
      <c r="X10" s="61">
        <v>2038</v>
      </c>
      <c r="Y10" s="61">
        <v>2039</v>
      </c>
      <c r="Z10" s="61">
        <v>2040</v>
      </c>
      <c r="AA10" s="61">
        <v>2041</v>
      </c>
      <c r="AB10" s="61">
        <v>2042</v>
      </c>
      <c r="AC10" s="61">
        <v>2043</v>
      </c>
      <c r="AD10" s="61">
        <v>2044</v>
      </c>
      <c r="AE10" s="61">
        <v>2045</v>
      </c>
      <c r="AF10" s="61">
        <v>2046</v>
      </c>
      <c r="AG10" s="61">
        <v>2047</v>
      </c>
      <c r="AH10" s="61">
        <v>2048</v>
      </c>
      <c r="AI10" s="61">
        <v>2049</v>
      </c>
      <c r="AJ10" s="61">
        <v>2050</v>
      </c>
      <c r="AK10" s="61">
        <v>2051</v>
      </c>
      <c r="AL10" s="61">
        <v>2052</v>
      </c>
      <c r="AM10" s="61">
        <v>2053</v>
      </c>
      <c r="AN10" s="61">
        <v>2054</v>
      </c>
      <c r="AO10" s="61">
        <v>2055</v>
      </c>
      <c r="AP10" s="61">
        <v>2056</v>
      </c>
      <c r="AQ10" s="61">
        <v>2057</v>
      </c>
      <c r="AR10" s="61">
        <v>2058</v>
      </c>
      <c r="AS10" s="61">
        <v>2059</v>
      </c>
      <c r="AT10" s="61">
        <v>2060</v>
      </c>
      <c r="AU10" s="61">
        <v>2061</v>
      </c>
      <c r="AV10" s="61">
        <v>2062</v>
      </c>
      <c r="AW10" s="61">
        <v>2063</v>
      </c>
      <c r="AX10" s="61">
        <v>2064</v>
      </c>
      <c r="AY10" s="61">
        <v>2065</v>
      </c>
      <c r="AZ10" s="61">
        <v>2066</v>
      </c>
      <c r="BA10" s="61">
        <v>2067</v>
      </c>
      <c r="BB10" s="61">
        <v>2068</v>
      </c>
      <c r="BC10" s="61">
        <v>2069</v>
      </c>
      <c r="BD10" s="61">
        <v>2070</v>
      </c>
      <c r="BE10" s="61">
        <v>2071</v>
      </c>
      <c r="BF10" s="61">
        <v>2072</v>
      </c>
      <c r="BG10" s="61">
        <v>2073</v>
      </c>
      <c r="BH10" s="61">
        <v>2074</v>
      </c>
      <c r="BI10" s="61">
        <v>2075</v>
      </c>
      <c r="BJ10" s="61">
        <v>2076</v>
      </c>
      <c r="BK10" s="61">
        <v>2077</v>
      </c>
      <c r="BL10" s="61">
        <v>2078</v>
      </c>
      <c r="BM10" s="61">
        <v>2079</v>
      </c>
      <c r="BN10" s="61">
        <v>2080</v>
      </c>
      <c r="BO10" s="61">
        <v>2081</v>
      </c>
      <c r="BP10" s="61">
        <v>2082</v>
      </c>
      <c r="BQ10" s="61">
        <v>2083</v>
      </c>
      <c r="BR10" s="61">
        <v>2084</v>
      </c>
      <c r="BS10" s="61">
        <v>2085</v>
      </c>
      <c r="BT10" s="61">
        <v>2086</v>
      </c>
      <c r="BU10" s="61">
        <v>2087</v>
      </c>
      <c r="BV10" s="61">
        <v>2088</v>
      </c>
      <c r="BW10" s="61">
        <v>2089</v>
      </c>
      <c r="BX10" s="61">
        <v>2090</v>
      </c>
      <c r="BY10" s="61">
        <v>2091</v>
      </c>
      <c r="BZ10" s="61">
        <v>2092</v>
      </c>
      <c r="CA10" s="61">
        <v>2093</v>
      </c>
      <c r="CB10" s="61">
        <v>2094</v>
      </c>
      <c r="CC10" s="61">
        <v>2095</v>
      </c>
      <c r="CD10" s="61">
        <v>2096</v>
      </c>
      <c r="CE10" s="61">
        <v>2097</v>
      </c>
      <c r="CF10" s="61">
        <v>2098</v>
      </c>
      <c r="CG10" s="61">
        <v>2099</v>
      </c>
      <c r="CH10" s="61">
        <v>2100</v>
      </c>
    </row>
    <row r="11" spans="1:86" s="60" customFormat="1" x14ac:dyDescent="0.25">
      <c r="A11" s="1"/>
      <c r="B11" s="1" t="s">
        <v>7</v>
      </c>
      <c r="C11" s="11">
        <v>9714</v>
      </c>
      <c r="D11" s="11">
        <v>11716</v>
      </c>
      <c r="E11" s="11">
        <v>10918</v>
      </c>
      <c r="F11" s="11">
        <v>16675</v>
      </c>
      <c r="G11" s="11">
        <v>26914</v>
      </c>
      <c r="H11" s="11">
        <v>26974</v>
      </c>
      <c r="I11" s="21">
        <f>H11*(1+I12)</f>
        <v>30076.01</v>
      </c>
      <c r="J11" s="18">
        <f t="shared" ref="J11:R11" si="1">I11*(1+J12)</f>
        <v>37354.404419999999</v>
      </c>
      <c r="K11" s="18">
        <f t="shared" si="1"/>
        <v>46207.398267540004</v>
      </c>
      <c r="L11" s="18">
        <f t="shared" si="1"/>
        <v>58544.773604973183</v>
      </c>
      <c r="M11" s="18">
        <f t="shared" si="1"/>
        <v>69609.735816313114</v>
      </c>
      <c r="N11" s="18">
        <f t="shared" si="1"/>
        <v>82765.975885596301</v>
      </c>
      <c r="O11" s="18">
        <f t="shared" si="1"/>
        <v>98408.745327974</v>
      </c>
      <c r="P11" s="18">
        <f t="shared" si="1"/>
        <v>117007.9981949611</v>
      </c>
      <c r="Q11" s="18">
        <f t="shared" si="1"/>
        <v>139122.50985380876</v>
      </c>
      <c r="R11" s="18">
        <f t="shared" si="1"/>
        <v>165416.66421617861</v>
      </c>
    </row>
    <row r="12" spans="1:86" s="60" customFormat="1" x14ac:dyDescent="0.25">
      <c r="A12" s="1"/>
      <c r="B12" s="13" t="s">
        <v>8</v>
      </c>
      <c r="C12" s="14"/>
      <c r="D12" s="14">
        <f>(D11/C11)-1</f>
        <v>0.20609429689108505</v>
      </c>
      <c r="E12" s="14">
        <f>(E11/D11)-1</f>
        <v>-6.8111983612154314E-2</v>
      </c>
      <c r="F12" s="14">
        <f>(F11/E11)-1</f>
        <v>0.52729437625938824</v>
      </c>
      <c r="G12" s="14">
        <f>(G11/F11)-1</f>
        <v>0.61403298350824587</v>
      </c>
      <c r="H12" s="14">
        <f>(H11/G11)-1</f>
        <v>2.2293230289069932E-3</v>
      </c>
      <c r="I12" s="76">
        <v>0.115</v>
      </c>
      <c r="J12" s="71">
        <v>0.24199999999999999</v>
      </c>
      <c r="K12" s="71">
        <v>0.23699999999999999</v>
      </c>
      <c r="L12" s="71">
        <v>0.26700000000000002</v>
      </c>
      <c r="M12" s="71">
        <v>0.189</v>
      </c>
      <c r="N12" s="71">
        <v>0.189</v>
      </c>
      <c r="O12" s="71">
        <v>0.189</v>
      </c>
      <c r="P12" s="71">
        <v>0.189</v>
      </c>
      <c r="Q12" s="71">
        <v>0.189</v>
      </c>
      <c r="R12" s="71">
        <v>0.189</v>
      </c>
    </row>
    <row r="13" spans="1:86" s="60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1"/>
      <c r="K13" s="1"/>
      <c r="L13" s="1"/>
      <c r="M13" s="1"/>
      <c r="N13" s="1"/>
      <c r="O13" s="1"/>
      <c r="P13" s="1"/>
      <c r="Q13" s="1"/>
      <c r="R13" s="2"/>
    </row>
    <row r="14" spans="1:86" s="60" customFormat="1" x14ac:dyDescent="0.25">
      <c r="A14" s="1"/>
      <c r="B14" s="1" t="s">
        <v>9</v>
      </c>
      <c r="C14" s="57">
        <v>3892</v>
      </c>
      <c r="D14" s="11">
        <v>4545</v>
      </c>
      <c r="E14" s="11">
        <v>4150</v>
      </c>
      <c r="F14" s="11">
        <v>6279</v>
      </c>
      <c r="G14" s="11">
        <v>9439</v>
      </c>
      <c r="H14" s="40">
        <v>11618</v>
      </c>
      <c r="I14" s="84">
        <f>I11-I16</f>
        <v>10033.356936</v>
      </c>
      <c r="J14" s="85">
        <f t="shared" ref="J14:K14" si="2">J11-J16</f>
        <v>12241.038328433999</v>
      </c>
      <c r="K14" s="85">
        <f t="shared" si="2"/>
        <v>15045.128875911025</v>
      </c>
      <c r="L14" s="3">
        <f t="shared" ref="L14:R14" si="3">L11-L16</f>
        <v>18529.420845974011</v>
      </c>
      <c r="M14" s="3">
        <f t="shared" si="3"/>
        <v>21718.237574689694</v>
      </c>
      <c r="N14" s="3">
        <f t="shared" si="3"/>
        <v>25822.984476306054</v>
      </c>
      <c r="O14" s="3">
        <f t="shared" si="3"/>
        <v>30703.528542327898</v>
      </c>
      <c r="P14" s="3">
        <f t="shared" si="3"/>
        <v>36506.49543682787</v>
      </c>
      <c r="Q14" s="3">
        <f t="shared" si="3"/>
        <v>43406.223074388341</v>
      </c>
      <c r="R14" s="3">
        <f t="shared" si="3"/>
        <v>51609.999235447744</v>
      </c>
    </row>
    <row r="15" spans="1:86" s="60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2"/>
    </row>
    <row r="16" spans="1:86" s="60" customFormat="1" x14ac:dyDescent="0.25">
      <c r="A16" s="1"/>
      <c r="B16" s="1" t="s">
        <v>10</v>
      </c>
      <c r="C16" s="11">
        <f>C11-C14</f>
        <v>5822</v>
      </c>
      <c r="D16" s="11">
        <f>D11-D14</f>
        <v>7171</v>
      </c>
      <c r="E16" s="11">
        <f>E11-E14</f>
        <v>6768</v>
      </c>
      <c r="F16" s="11">
        <f>F11-F14</f>
        <v>10396</v>
      </c>
      <c r="G16" s="11">
        <f>G11-G14</f>
        <v>17475</v>
      </c>
      <c r="H16" s="11">
        <f>H11-H14</f>
        <v>15356</v>
      </c>
      <c r="I16" s="21">
        <f>I11*I17</f>
        <v>20042.653063999998</v>
      </c>
      <c r="J16" s="18">
        <f t="shared" ref="J16:R16" si="4">J11*J17</f>
        <v>25113.366091566</v>
      </c>
      <c r="K16" s="18">
        <f t="shared" si="4"/>
        <v>31162.269391628979</v>
      </c>
      <c r="L16" s="18">
        <f t="shared" si="4"/>
        <v>40015.352758999172</v>
      </c>
      <c r="M16" s="18">
        <f t="shared" si="4"/>
        <v>47891.49824162342</v>
      </c>
      <c r="N16" s="18">
        <f t="shared" si="4"/>
        <v>56942.991409290247</v>
      </c>
      <c r="O16" s="18">
        <f t="shared" si="4"/>
        <v>67705.216785646102</v>
      </c>
      <c r="P16" s="18">
        <f t="shared" si="4"/>
        <v>80501.502758133225</v>
      </c>
      <c r="Q16" s="18">
        <f t="shared" si="4"/>
        <v>95716.286779420421</v>
      </c>
      <c r="R16" s="18">
        <f t="shared" si="4"/>
        <v>113806.66498073087</v>
      </c>
    </row>
    <row r="17" spans="1:18" s="60" customFormat="1" x14ac:dyDescent="0.25">
      <c r="A17" s="1"/>
      <c r="B17" s="13" t="s">
        <v>11</v>
      </c>
      <c r="C17" s="14">
        <f>C16/C11</f>
        <v>0.59934115709285563</v>
      </c>
      <c r="D17" s="14">
        <f>D16/D11</f>
        <v>0.61206896551724133</v>
      </c>
      <c r="E17" s="14">
        <f>E16/E11</f>
        <v>0.61989375343469499</v>
      </c>
      <c r="F17" s="14">
        <f>F16/F11</f>
        <v>0.62344827586206897</v>
      </c>
      <c r="G17" s="14">
        <f>G16/G11</f>
        <v>0.64929033216913135</v>
      </c>
      <c r="H17" s="14">
        <f>H16/H11</f>
        <v>0.56928894490991322</v>
      </c>
      <c r="I17" s="77">
        <v>0.66639999999999999</v>
      </c>
      <c r="J17" s="72">
        <v>0.67230000000000001</v>
      </c>
      <c r="K17" s="72">
        <v>0.6744</v>
      </c>
      <c r="L17" s="72">
        <v>0.6835</v>
      </c>
      <c r="M17" s="72">
        <v>0.68799999999999994</v>
      </c>
      <c r="N17" s="72">
        <v>0.68799999999999994</v>
      </c>
      <c r="O17" s="72">
        <v>0.68799999999999994</v>
      </c>
      <c r="P17" s="72">
        <v>0.68799999999999994</v>
      </c>
      <c r="Q17" s="72">
        <v>0.68799999999999994</v>
      </c>
      <c r="R17" s="72">
        <v>0.68799999999999994</v>
      </c>
    </row>
    <row r="18" spans="1:18" s="60" customFormat="1" x14ac:dyDescent="0.25">
      <c r="A18" s="1"/>
      <c r="B18" s="6"/>
      <c r="C18" s="1"/>
      <c r="D18" s="1"/>
      <c r="E18" s="1"/>
      <c r="F18" s="1"/>
      <c r="G18" s="1"/>
      <c r="H18" s="1"/>
      <c r="I18" s="12"/>
      <c r="J18" s="68"/>
      <c r="K18" s="68"/>
      <c r="L18" s="68"/>
      <c r="M18" s="68"/>
      <c r="N18" s="68"/>
      <c r="O18" s="68"/>
      <c r="P18" s="68"/>
      <c r="Q18" s="68"/>
      <c r="R18" s="69"/>
    </row>
    <row r="19" spans="1:18" s="60" customFormat="1" x14ac:dyDescent="0.25">
      <c r="A19" s="1"/>
      <c r="B19" s="1" t="s">
        <v>12</v>
      </c>
      <c r="C19" s="11">
        <v>1797</v>
      </c>
      <c r="D19" s="11">
        <v>2376</v>
      </c>
      <c r="E19" s="11">
        <v>2829</v>
      </c>
      <c r="F19" s="11">
        <v>3924</v>
      </c>
      <c r="G19" s="11">
        <v>5268</v>
      </c>
      <c r="H19" s="11">
        <v>7339</v>
      </c>
      <c r="I19" s="21">
        <f>I20*I11</f>
        <v>7669.3825499999994</v>
      </c>
      <c r="J19" s="58">
        <f t="shared" ref="J19:R19" si="5">J20*J11</f>
        <v>9525.3731270999997</v>
      </c>
      <c r="K19" s="58">
        <f t="shared" si="5"/>
        <v>11782.886558222701</v>
      </c>
      <c r="L19" s="58">
        <f t="shared" si="5"/>
        <v>14928.917269268162</v>
      </c>
      <c r="M19" s="58">
        <f t="shared" si="5"/>
        <v>17750.482633159845</v>
      </c>
      <c r="N19" s="58">
        <f t="shared" si="5"/>
        <v>21105.323850827059</v>
      </c>
      <c r="O19" s="58">
        <f t="shared" si="5"/>
        <v>25094.230058633369</v>
      </c>
      <c r="P19" s="58">
        <f t="shared" si="5"/>
        <v>29837.039539715079</v>
      </c>
      <c r="Q19" s="58">
        <f t="shared" si="5"/>
        <v>35476.240012721239</v>
      </c>
      <c r="R19" s="58">
        <f t="shared" si="5"/>
        <v>42181.249375125546</v>
      </c>
    </row>
    <row r="20" spans="1:18" s="60" customFormat="1" x14ac:dyDescent="0.25">
      <c r="A20" s="1"/>
      <c r="B20" s="13" t="s">
        <v>20</v>
      </c>
      <c r="C20" s="14">
        <f>C19/C11</f>
        <v>0.18499073502161828</v>
      </c>
      <c r="D20" s="14">
        <f t="shared" ref="D20:H20" si="6">D19/D11</f>
        <v>0.20279959030385797</v>
      </c>
      <c r="E20" s="14">
        <f t="shared" si="6"/>
        <v>0.25911339073090311</v>
      </c>
      <c r="F20" s="14">
        <f t="shared" si="6"/>
        <v>0.2353223388305847</v>
      </c>
      <c r="G20" s="14">
        <f t="shared" si="6"/>
        <v>0.19573456193802483</v>
      </c>
      <c r="H20" s="14">
        <f t="shared" si="6"/>
        <v>0.27207681471046191</v>
      </c>
      <c r="I20" s="20">
        <v>0.255</v>
      </c>
      <c r="J20" s="59">
        <v>0.255</v>
      </c>
      <c r="K20" s="59">
        <v>0.255</v>
      </c>
      <c r="L20" s="59">
        <v>0.255</v>
      </c>
      <c r="M20" s="59">
        <v>0.255</v>
      </c>
      <c r="N20" s="59">
        <v>0.255</v>
      </c>
      <c r="O20" s="59">
        <v>0.255</v>
      </c>
      <c r="P20" s="59">
        <v>0.255</v>
      </c>
      <c r="Q20" s="59">
        <v>0.255</v>
      </c>
      <c r="R20" s="59">
        <v>0.255</v>
      </c>
    </row>
    <row r="21" spans="1:18" s="60" customFormat="1" x14ac:dyDescent="0.25">
      <c r="A21" s="1"/>
      <c r="B21" s="1"/>
      <c r="C21" s="11"/>
      <c r="D21" s="11"/>
      <c r="E21" s="11"/>
      <c r="F21" s="11"/>
      <c r="G21" s="11"/>
      <c r="H21" s="11"/>
      <c r="I21" s="21"/>
      <c r="J21" s="58"/>
      <c r="K21" s="58"/>
      <c r="L21" s="58"/>
      <c r="M21" s="58"/>
      <c r="N21" s="58"/>
      <c r="O21" s="58"/>
      <c r="P21" s="58"/>
      <c r="Q21" s="58"/>
      <c r="R21" s="58"/>
    </row>
    <row r="22" spans="1:18" s="60" customFormat="1" x14ac:dyDescent="0.25">
      <c r="A22" s="1"/>
      <c r="B22" s="1" t="s">
        <v>56</v>
      </c>
      <c r="C22" s="11">
        <v>815</v>
      </c>
      <c r="D22" s="11">
        <v>991</v>
      </c>
      <c r="E22" s="11">
        <v>1093</v>
      </c>
      <c r="F22" s="11">
        <v>1940</v>
      </c>
      <c r="G22" s="11">
        <v>2166</v>
      </c>
      <c r="H22" s="11">
        <v>2440</v>
      </c>
      <c r="I22" s="21">
        <f>I23*I11</f>
        <v>2857.2209499999999</v>
      </c>
      <c r="J22" s="18">
        <f t="shared" ref="J22:R22" si="7">J23*J11</f>
        <v>3548.6684199000001</v>
      </c>
      <c r="K22" s="18">
        <f t="shared" si="7"/>
        <v>4389.7028354163003</v>
      </c>
      <c r="L22" s="18">
        <f t="shared" si="7"/>
        <v>5561.7534924724523</v>
      </c>
      <c r="M22" s="18">
        <f t="shared" si="7"/>
        <v>6612.9249025497456</v>
      </c>
      <c r="N22" s="18">
        <f t="shared" si="7"/>
        <v>7862.7677091316491</v>
      </c>
      <c r="O22" s="18">
        <f t="shared" si="7"/>
        <v>9348.8308061575299</v>
      </c>
      <c r="P22" s="18">
        <f t="shared" si="7"/>
        <v>11115.759828521304</v>
      </c>
      <c r="Q22" s="18">
        <f t="shared" si="7"/>
        <v>13216.638436111833</v>
      </c>
      <c r="R22" s="18">
        <f t="shared" si="7"/>
        <v>15714.583100536969</v>
      </c>
    </row>
    <row r="23" spans="1:18" s="60" customFormat="1" x14ac:dyDescent="0.25">
      <c r="A23" s="1"/>
      <c r="B23" s="13" t="s">
        <v>20</v>
      </c>
      <c r="C23" s="14">
        <f>C22/C11</f>
        <v>8.3899526456660489E-2</v>
      </c>
      <c r="D23" s="14">
        <f t="shared" ref="D23:H23" si="8">D22/D11</f>
        <v>8.4585182656196647E-2</v>
      </c>
      <c r="E23" s="14">
        <f t="shared" si="8"/>
        <v>0.10010991023997069</v>
      </c>
      <c r="F23" s="14">
        <f t="shared" si="8"/>
        <v>0.11634182908545727</v>
      </c>
      <c r="G23" s="14">
        <f t="shared" si="8"/>
        <v>8.0478561343538674E-2</v>
      </c>
      <c r="H23" s="14">
        <f t="shared" si="8"/>
        <v>9.0457477570994288E-2</v>
      </c>
      <c r="I23" s="20">
        <v>9.5000000000000001E-2</v>
      </c>
      <c r="J23" s="14">
        <v>9.5000000000000001E-2</v>
      </c>
      <c r="K23" s="14">
        <v>9.5000000000000001E-2</v>
      </c>
      <c r="L23" s="14">
        <v>9.5000000000000001E-2</v>
      </c>
      <c r="M23" s="14">
        <v>9.5000000000000001E-2</v>
      </c>
      <c r="N23" s="14">
        <v>9.5000000000000001E-2</v>
      </c>
      <c r="O23" s="14">
        <v>9.5000000000000001E-2</v>
      </c>
      <c r="P23" s="14">
        <v>9.5000000000000001E-2</v>
      </c>
      <c r="Q23" s="14">
        <v>9.5000000000000001E-2</v>
      </c>
      <c r="R23" s="14">
        <v>9.5000000000000001E-2</v>
      </c>
    </row>
    <row r="24" spans="1:18" s="60" customFormat="1" x14ac:dyDescent="0.25">
      <c r="A24" s="1"/>
      <c r="B24" s="1"/>
      <c r="C24" s="22"/>
      <c r="D24" s="22"/>
      <c r="E24" s="22"/>
      <c r="F24" s="22"/>
      <c r="G24" s="22"/>
      <c r="H24" s="22"/>
      <c r="I24" s="78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60" customFormat="1" x14ac:dyDescent="0.25">
      <c r="A25" s="1"/>
      <c r="B25" s="1" t="s">
        <v>13</v>
      </c>
      <c r="C25" s="11"/>
      <c r="D25" s="11"/>
      <c r="E25" s="11"/>
      <c r="F25" s="11"/>
      <c r="G25" s="11"/>
      <c r="H25" s="11">
        <v>1353</v>
      </c>
      <c r="I25" s="79"/>
      <c r="J25" s="11"/>
      <c r="K25" s="11"/>
      <c r="L25" s="11"/>
      <c r="M25" s="11"/>
      <c r="N25" s="11"/>
      <c r="O25" s="11"/>
      <c r="P25" s="11"/>
      <c r="Q25" s="11"/>
      <c r="R25" s="11"/>
    </row>
    <row r="26" spans="1:18" s="60" customFormat="1" x14ac:dyDescent="0.25">
      <c r="A26" s="1"/>
      <c r="B26" s="1" t="s">
        <v>44</v>
      </c>
      <c r="C26" s="11">
        <v>69</v>
      </c>
      <c r="D26" s="11">
        <v>136</v>
      </c>
      <c r="E26" s="11">
        <v>178</v>
      </c>
      <c r="F26" s="11">
        <v>57</v>
      </c>
      <c r="G26" s="11">
        <v>29</v>
      </c>
      <c r="H26" s="11">
        <v>267</v>
      </c>
      <c r="I26" s="79">
        <f>I11*0.82%</f>
        <v>246.62328199999996</v>
      </c>
      <c r="J26" s="11">
        <f t="shared" ref="J26:R26" si="9">J11*0.82%</f>
        <v>306.30611624399995</v>
      </c>
      <c r="K26" s="11">
        <f t="shared" si="9"/>
        <v>378.90066579382801</v>
      </c>
      <c r="L26" s="11">
        <f t="shared" si="9"/>
        <v>480.06714356078004</v>
      </c>
      <c r="M26" s="11">
        <f t="shared" si="9"/>
        <v>570.79983369376748</v>
      </c>
      <c r="N26" s="11">
        <f t="shared" si="9"/>
        <v>678.6810022618896</v>
      </c>
      <c r="O26" s="11">
        <f t="shared" si="9"/>
        <v>806.95171168938668</v>
      </c>
      <c r="P26" s="11">
        <f t="shared" si="9"/>
        <v>959.46558519868086</v>
      </c>
      <c r="Q26" s="11">
        <f t="shared" si="9"/>
        <v>1140.8045808012316</v>
      </c>
      <c r="R26" s="11">
        <f t="shared" si="9"/>
        <v>1356.4166465726644</v>
      </c>
    </row>
    <row r="27" spans="1:18" s="60" customFormat="1" x14ac:dyDescent="0.25">
      <c r="A27" s="1"/>
      <c r="B27" s="1" t="s">
        <v>43</v>
      </c>
      <c r="C27" s="11">
        <v>-61</v>
      </c>
      <c r="D27" s="11">
        <v>-58</v>
      </c>
      <c r="E27" s="11">
        <v>-52</v>
      </c>
      <c r="F27" s="11">
        <v>-184</v>
      </c>
      <c r="G27" s="11">
        <v>-236</v>
      </c>
      <c r="H27" s="11">
        <v>-262</v>
      </c>
      <c r="I27" s="79">
        <f>I11*(-0.76%)</f>
        <v>-228.577676</v>
      </c>
      <c r="J27" s="11">
        <f t="shared" ref="J27:R27" si="10">J11*(-0.76%)</f>
        <v>-283.89347359199996</v>
      </c>
      <c r="K27" s="11">
        <f t="shared" si="10"/>
        <v>-351.17622683330404</v>
      </c>
      <c r="L27" s="11">
        <f t="shared" si="10"/>
        <v>-444.94027939779619</v>
      </c>
      <c r="M27" s="11">
        <f t="shared" si="10"/>
        <v>-529.03399220397966</v>
      </c>
      <c r="N27" s="11">
        <f t="shared" si="10"/>
        <v>-629.02141673053188</v>
      </c>
      <c r="O27" s="11">
        <f t="shared" si="10"/>
        <v>-747.90646449260237</v>
      </c>
      <c r="P27" s="11">
        <f t="shared" si="10"/>
        <v>-889.26078628170433</v>
      </c>
      <c r="Q27" s="11">
        <f t="shared" si="10"/>
        <v>-1057.3310748889467</v>
      </c>
      <c r="R27" s="11">
        <f t="shared" si="10"/>
        <v>-1257.1666480429574</v>
      </c>
    </row>
    <row r="28" spans="1:18" s="60" customFormat="1" x14ac:dyDescent="0.25">
      <c r="A28" s="1"/>
      <c r="B28" s="1" t="s">
        <v>17</v>
      </c>
      <c r="C28" s="11">
        <v>-22</v>
      </c>
      <c r="D28" s="11">
        <v>14</v>
      </c>
      <c r="E28" s="11">
        <v>-2</v>
      </c>
      <c r="F28" s="11">
        <v>4</v>
      </c>
      <c r="G28" s="11">
        <v>107</v>
      </c>
      <c r="H28" s="11">
        <v>-48</v>
      </c>
      <c r="I28" s="79">
        <f>I11*0.02%</f>
        <v>6.0152020000000004</v>
      </c>
      <c r="J28" s="11">
        <f t="shared" ref="J28:R28" si="11">J11*0.02%</f>
        <v>7.4708808840000005</v>
      </c>
      <c r="K28" s="11">
        <f t="shared" si="11"/>
        <v>9.2414796535080015</v>
      </c>
      <c r="L28" s="11">
        <f t="shared" si="11"/>
        <v>11.708954720994637</v>
      </c>
      <c r="M28" s="11">
        <f t="shared" si="11"/>
        <v>13.921947163262624</v>
      </c>
      <c r="N28" s="11">
        <f t="shared" si="11"/>
        <v>16.55319517711926</v>
      </c>
      <c r="O28" s="11">
        <f t="shared" si="11"/>
        <v>19.681749065594801</v>
      </c>
      <c r="P28" s="11">
        <f t="shared" si="11"/>
        <v>23.40159963899222</v>
      </c>
      <c r="Q28" s="11">
        <f t="shared" si="11"/>
        <v>27.824501970761755</v>
      </c>
      <c r="R28" s="11">
        <f t="shared" si="11"/>
        <v>33.083332843235723</v>
      </c>
    </row>
    <row r="29" spans="1:18" s="60" customFormat="1" x14ac:dyDescent="0.25">
      <c r="A29" s="1"/>
      <c r="B29" s="1"/>
      <c r="C29" s="11"/>
      <c r="D29" s="11"/>
      <c r="E29" s="11"/>
      <c r="F29" s="1"/>
      <c r="G29" s="1"/>
      <c r="H29" s="1"/>
      <c r="I29" s="12"/>
      <c r="J29" s="1"/>
      <c r="K29" s="1"/>
      <c r="L29" s="1"/>
      <c r="M29" s="1"/>
      <c r="N29" s="1"/>
      <c r="O29" s="1"/>
      <c r="P29" s="1"/>
      <c r="Q29" s="1"/>
      <c r="R29" s="2"/>
    </row>
    <row r="30" spans="1:18" s="60" customFormat="1" x14ac:dyDescent="0.25">
      <c r="A30" s="1"/>
      <c r="B30" s="1" t="s">
        <v>14</v>
      </c>
      <c r="C30" s="11">
        <f>C19+C22+C25</f>
        <v>2612</v>
      </c>
      <c r="D30" s="11">
        <f>D19+D22+D25</f>
        <v>3367</v>
      </c>
      <c r="E30" s="11">
        <f>E19+E22+E25</f>
        <v>3922</v>
      </c>
      <c r="F30" s="11">
        <f>F19+F22+F25</f>
        <v>5864</v>
      </c>
      <c r="G30" s="11">
        <f>G19+G22+G25</f>
        <v>7434</v>
      </c>
      <c r="H30" s="11">
        <f>H19+H22+H25</f>
        <v>11132</v>
      </c>
      <c r="I30" s="79">
        <f>I19+I22+I25</f>
        <v>10526.603499999999</v>
      </c>
      <c r="J30" s="11">
        <f t="shared" ref="I30:R30" si="12">J19+J22+J25</f>
        <v>13074.041547000001</v>
      </c>
      <c r="K30" s="11">
        <f t="shared" si="12"/>
        <v>16172.589393639002</v>
      </c>
      <c r="L30" s="11">
        <f t="shared" si="12"/>
        <v>20490.670761740614</v>
      </c>
      <c r="M30" s="11">
        <f t="shared" si="12"/>
        <v>24363.40753570959</v>
      </c>
      <c r="N30" s="11">
        <f t="shared" si="12"/>
        <v>28968.09155995871</v>
      </c>
      <c r="O30" s="11">
        <f t="shared" si="12"/>
        <v>34443.060864790896</v>
      </c>
      <c r="P30" s="11">
        <f t="shared" si="12"/>
        <v>40952.799368236381</v>
      </c>
      <c r="Q30" s="11">
        <f t="shared" si="12"/>
        <v>48692.878448833071</v>
      </c>
      <c r="R30" s="11">
        <f t="shared" si="12"/>
        <v>57895.832475662515</v>
      </c>
    </row>
    <row r="31" spans="1:18" s="60" customFormat="1" x14ac:dyDescent="0.25">
      <c r="A31" s="1"/>
      <c r="B31" s="1" t="s">
        <v>15</v>
      </c>
      <c r="C31" s="14">
        <f>C30/C11</f>
        <v>0.26889026147827877</v>
      </c>
      <c r="D31" s="14">
        <f>D30/D11</f>
        <v>0.2873847729600546</v>
      </c>
      <c r="E31" s="14">
        <f>E30/E11</f>
        <v>0.35922330097087379</v>
      </c>
      <c r="F31" s="14">
        <f>F30/F11</f>
        <v>0.35166416791604199</v>
      </c>
      <c r="G31" s="14">
        <f>G30/G11</f>
        <v>0.2762131232815635</v>
      </c>
      <c r="H31" s="14">
        <f>H30/H11</f>
        <v>0.41269370504930675</v>
      </c>
      <c r="I31" s="19">
        <f>I30/I11</f>
        <v>0.35</v>
      </c>
      <c r="J31" s="73">
        <f t="shared" ref="J31:R31" si="13">J30/J11</f>
        <v>0.35000000000000003</v>
      </c>
      <c r="K31" s="73">
        <f t="shared" si="13"/>
        <v>0.35000000000000003</v>
      </c>
      <c r="L31" s="73">
        <f t="shared" si="13"/>
        <v>0.35</v>
      </c>
      <c r="M31" s="73">
        <f t="shared" si="13"/>
        <v>0.35</v>
      </c>
      <c r="N31" s="73">
        <f t="shared" si="13"/>
        <v>0.35000000000000003</v>
      </c>
      <c r="O31" s="73">
        <f t="shared" si="13"/>
        <v>0.35</v>
      </c>
      <c r="P31" s="73">
        <f t="shared" si="13"/>
        <v>0.35</v>
      </c>
      <c r="Q31" s="73">
        <f t="shared" si="13"/>
        <v>0.35000000000000003</v>
      </c>
      <c r="R31" s="73">
        <f t="shared" si="13"/>
        <v>0.35</v>
      </c>
    </row>
    <row r="32" spans="1:18" s="60" customFormat="1" x14ac:dyDescent="0.25">
      <c r="A32" s="1"/>
      <c r="B32" s="1"/>
      <c r="C32" s="14"/>
      <c r="D32" s="14"/>
      <c r="E32" s="14"/>
      <c r="F32" s="14"/>
      <c r="G32" s="14"/>
      <c r="H32" s="14"/>
      <c r="I32" s="20"/>
      <c r="J32" s="59"/>
      <c r="K32" s="59"/>
      <c r="L32" s="59"/>
      <c r="M32" s="59"/>
      <c r="N32" s="59"/>
      <c r="O32" s="59"/>
      <c r="P32" s="59"/>
      <c r="Q32" s="59"/>
      <c r="R32" s="59"/>
    </row>
    <row r="33" spans="1:86" s="60" customFormat="1" x14ac:dyDescent="0.25">
      <c r="A33" s="1"/>
      <c r="B33" s="1" t="s">
        <v>16</v>
      </c>
      <c r="C33" s="11">
        <f>C16-C30</f>
        <v>3210</v>
      </c>
      <c r="D33" s="11">
        <f>D16-D30</f>
        <v>3804</v>
      </c>
      <c r="E33" s="11">
        <f>E16-E30</f>
        <v>2846</v>
      </c>
      <c r="F33" s="11">
        <f>F16-F30</f>
        <v>4532</v>
      </c>
      <c r="G33" s="11">
        <f>G16-G30</f>
        <v>10041</v>
      </c>
      <c r="H33" s="11">
        <f>H16-H30</f>
        <v>4224</v>
      </c>
      <c r="I33" s="79">
        <f>I16-I30</f>
        <v>9516.049563999999</v>
      </c>
      <c r="J33" s="57">
        <f t="shared" ref="I33:R33" si="14">J16-J30</f>
        <v>12039.324544566</v>
      </c>
      <c r="K33" s="57">
        <f t="shared" si="14"/>
        <v>14989.679997989977</v>
      </c>
      <c r="L33" s="57">
        <f t="shared" si="14"/>
        <v>19524.681997258558</v>
      </c>
      <c r="M33" s="57">
        <f t="shared" si="14"/>
        <v>23528.09070591383</v>
      </c>
      <c r="N33" s="57">
        <f t="shared" si="14"/>
        <v>27974.899849331538</v>
      </c>
      <c r="O33" s="57">
        <f t="shared" si="14"/>
        <v>33262.155920855206</v>
      </c>
      <c r="P33" s="57">
        <f t="shared" si="14"/>
        <v>39548.703389896844</v>
      </c>
      <c r="Q33" s="57">
        <f t="shared" si="14"/>
        <v>47023.40833058735</v>
      </c>
      <c r="R33" s="57">
        <f t="shared" si="14"/>
        <v>55910.832505068356</v>
      </c>
    </row>
    <row r="34" spans="1:86" s="60" customFormat="1" x14ac:dyDescent="0.25">
      <c r="A34" s="1"/>
      <c r="B34" s="1"/>
      <c r="C34" s="23"/>
      <c r="D34" s="23"/>
      <c r="E34" s="23"/>
      <c r="F34" s="23"/>
      <c r="G34" s="23"/>
      <c r="H34" s="23"/>
      <c r="I34" s="24"/>
      <c r="J34" s="69"/>
      <c r="K34" s="69"/>
      <c r="L34" s="69"/>
      <c r="M34" s="69"/>
      <c r="N34" s="69"/>
      <c r="O34" s="69"/>
      <c r="P34" s="69"/>
      <c r="Q34" s="69"/>
      <c r="R34" s="69"/>
    </row>
    <row r="35" spans="1:86" s="60" customFormat="1" x14ac:dyDescent="0.25">
      <c r="A35" s="1"/>
      <c r="B35" s="1" t="s">
        <v>18</v>
      </c>
      <c r="C35" s="11">
        <f t="shared" ref="C35:G35" si="15">C33+C26+C27+C28</f>
        <v>3196</v>
      </c>
      <c r="D35" s="11">
        <f t="shared" si="15"/>
        <v>3896</v>
      </c>
      <c r="E35" s="11">
        <f t="shared" si="15"/>
        <v>2970</v>
      </c>
      <c r="F35" s="11">
        <f t="shared" si="15"/>
        <v>4409</v>
      </c>
      <c r="G35" s="11">
        <f t="shared" si="15"/>
        <v>9941</v>
      </c>
      <c r="H35" s="11">
        <f>H33+H26+H27+H28</f>
        <v>4181</v>
      </c>
      <c r="I35" s="79">
        <f t="shared" ref="I35:R35" si="16">I33+I26+I27+I28</f>
        <v>9540.1103719999992</v>
      </c>
      <c r="J35" s="57">
        <f t="shared" si="16"/>
        <v>12069.208068102002</v>
      </c>
      <c r="K35" s="57">
        <f t="shared" si="16"/>
        <v>15026.645916604009</v>
      </c>
      <c r="L35" s="57">
        <f t="shared" si="16"/>
        <v>19571.517816142536</v>
      </c>
      <c r="M35" s="57">
        <f t="shared" si="16"/>
        <v>23583.778494566883</v>
      </c>
      <c r="N35" s="57">
        <f t="shared" si="16"/>
        <v>28041.112630040014</v>
      </c>
      <c r="O35" s="57">
        <f t="shared" si="16"/>
        <v>33340.882917117582</v>
      </c>
      <c r="P35" s="57">
        <f t="shared" si="16"/>
        <v>39642.309788452818</v>
      </c>
      <c r="Q35" s="57">
        <f t="shared" si="16"/>
        <v>47134.706338470394</v>
      </c>
      <c r="R35" s="57">
        <f t="shared" si="16"/>
        <v>56043.165836441302</v>
      </c>
    </row>
    <row r="36" spans="1:86" s="60" customFormat="1" x14ac:dyDescent="0.25">
      <c r="A36" s="1"/>
      <c r="B36" s="1"/>
      <c r="C36" s="23"/>
      <c r="D36" s="23"/>
      <c r="E36" s="23"/>
      <c r="F36" s="23"/>
      <c r="G36" s="23"/>
      <c r="H36" s="23"/>
      <c r="I36" s="12"/>
      <c r="J36" s="68"/>
      <c r="K36" s="68"/>
      <c r="L36" s="68"/>
      <c r="M36" s="68"/>
      <c r="N36" s="68"/>
      <c r="O36" s="68"/>
      <c r="P36" s="68"/>
      <c r="Q36" s="68"/>
      <c r="R36" s="69"/>
    </row>
    <row r="37" spans="1:86" s="60" customFormat="1" x14ac:dyDescent="0.25">
      <c r="A37" s="1"/>
      <c r="B37" s="1" t="s">
        <v>19</v>
      </c>
      <c r="C37" s="11">
        <f>C33</f>
        <v>3210</v>
      </c>
      <c r="D37" s="11">
        <f>D33</f>
        <v>3804</v>
      </c>
      <c r="E37" s="11">
        <f>E33</f>
        <v>2846</v>
      </c>
      <c r="F37" s="11">
        <f>F33</f>
        <v>4532</v>
      </c>
      <c r="G37" s="11">
        <f>G33</f>
        <v>10041</v>
      </c>
      <c r="H37" s="11">
        <f>H33</f>
        <v>4224</v>
      </c>
      <c r="I37" s="79">
        <f t="shared" ref="I37:R37" si="17">I33</f>
        <v>9516.049563999999</v>
      </c>
      <c r="J37" s="57">
        <f t="shared" si="17"/>
        <v>12039.324544566</v>
      </c>
      <c r="K37" s="57">
        <f t="shared" si="17"/>
        <v>14989.679997989977</v>
      </c>
      <c r="L37" s="57">
        <f t="shared" si="17"/>
        <v>19524.681997258558</v>
      </c>
      <c r="M37" s="57">
        <f t="shared" si="17"/>
        <v>23528.09070591383</v>
      </c>
      <c r="N37" s="57">
        <f t="shared" si="17"/>
        <v>27974.899849331538</v>
      </c>
      <c r="O37" s="57">
        <f t="shared" si="17"/>
        <v>33262.155920855206</v>
      </c>
      <c r="P37" s="57">
        <f t="shared" si="17"/>
        <v>39548.703389896844</v>
      </c>
      <c r="Q37" s="57">
        <f t="shared" si="17"/>
        <v>47023.40833058735</v>
      </c>
      <c r="R37" s="57">
        <f t="shared" si="17"/>
        <v>55910.832505068356</v>
      </c>
    </row>
    <row r="38" spans="1:86" s="60" customFormat="1" x14ac:dyDescent="0.25">
      <c r="A38" s="1"/>
      <c r="B38" s="13" t="s">
        <v>20</v>
      </c>
      <c r="C38" s="14">
        <f>C37/C11</f>
        <v>0.33045089561457691</v>
      </c>
      <c r="D38" s="14">
        <f>D37/D11</f>
        <v>0.32468419255718678</v>
      </c>
      <c r="E38" s="14">
        <f>E37/E11</f>
        <v>0.2606704524638212</v>
      </c>
      <c r="F38" s="14">
        <f>F37/F11</f>
        <v>0.27178410794602698</v>
      </c>
      <c r="G38" s="14">
        <f>G37/G11</f>
        <v>0.37307720888756779</v>
      </c>
      <c r="H38" s="14">
        <f>H37/H11</f>
        <v>0.1565952398606065</v>
      </c>
      <c r="I38" s="76">
        <f>I37/I11</f>
        <v>0.31639999999999996</v>
      </c>
      <c r="J38" s="71">
        <f t="shared" ref="J38:R38" si="18">J37/J11</f>
        <v>0.32229999999999998</v>
      </c>
      <c r="K38" s="71">
        <f t="shared" si="18"/>
        <v>0.32440000000000002</v>
      </c>
      <c r="L38" s="71">
        <f t="shared" si="18"/>
        <v>0.33350000000000002</v>
      </c>
      <c r="M38" s="71">
        <f t="shared" si="18"/>
        <v>0.33799999999999997</v>
      </c>
      <c r="N38" s="71">
        <f t="shared" si="18"/>
        <v>0.33799999999999986</v>
      </c>
      <c r="O38" s="71">
        <f t="shared" si="18"/>
        <v>0.33799999999999997</v>
      </c>
      <c r="P38" s="71">
        <f t="shared" si="18"/>
        <v>0.33799999999999997</v>
      </c>
      <c r="Q38" s="71">
        <f t="shared" si="18"/>
        <v>0.33799999999999991</v>
      </c>
      <c r="R38" s="71">
        <f t="shared" si="18"/>
        <v>0.33799999999999991</v>
      </c>
    </row>
    <row r="39" spans="1:86" s="60" customFormat="1" x14ac:dyDescent="0.25">
      <c r="A39" s="1"/>
      <c r="B39" s="13"/>
      <c r="C39" s="1"/>
      <c r="D39" s="1"/>
      <c r="E39" s="1"/>
      <c r="F39" s="2"/>
      <c r="G39" s="1"/>
      <c r="H39" s="1"/>
      <c r="I39" s="12"/>
      <c r="J39" s="68"/>
      <c r="K39" s="68"/>
      <c r="L39" s="68"/>
      <c r="M39" s="68"/>
      <c r="N39" s="68"/>
      <c r="O39" s="69"/>
      <c r="P39" s="69"/>
      <c r="Q39" s="69"/>
      <c r="R39" s="69"/>
    </row>
    <row r="40" spans="1:86" s="60" customFormat="1" x14ac:dyDescent="0.25">
      <c r="A40" s="1"/>
      <c r="B40" s="1" t="s">
        <v>21</v>
      </c>
      <c r="C40" s="18">
        <v>149</v>
      </c>
      <c r="D40" s="11">
        <v>-245</v>
      </c>
      <c r="E40" s="11">
        <v>174</v>
      </c>
      <c r="F40" s="25">
        <v>77</v>
      </c>
      <c r="G40" s="11">
        <v>189</v>
      </c>
      <c r="H40" s="11">
        <v>-187</v>
      </c>
      <c r="I40" s="21">
        <f>I41*I37</f>
        <v>666.12346948000004</v>
      </c>
      <c r="J40" s="58">
        <f t="shared" ref="J40:R40" si="19">J41*J37</f>
        <v>842.75271811962</v>
      </c>
      <c r="K40" s="58">
        <f t="shared" si="19"/>
        <v>1049.2775998592986</v>
      </c>
      <c r="L40" s="58">
        <f t="shared" si="19"/>
        <v>1366.7277398080992</v>
      </c>
      <c r="M40" s="58">
        <f t="shared" si="19"/>
        <v>1646.9663494139681</v>
      </c>
      <c r="N40" s="58">
        <f t="shared" si="19"/>
        <v>1958.2429894532079</v>
      </c>
      <c r="O40" s="58">
        <f t="shared" si="19"/>
        <v>2328.3509144598647</v>
      </c>
      <c r="P40" s="58">
        <f t="shared" si="19"/>
        <v>2768.4092372927794</v>
      </c>
      <c r="Q40" s="58">
        <f t="shared" si="19"/>
        <v>3291.6385831411149</v>
      </c>
      <c r="R40" s="58">
        <f t="shared" si="19"/>
        <v>3913.7582753547854</v>
      </c>
    </row>
    <row r="41" spans="1:86" s="60" customFormat="1" x14ac:dyDescent="0.25">
      <c r="A41" s="1"/>
      <c r="B41" s="13" t="s">
        <v>22</v>
      </c>
      <c r="C41" s="22">
        <f>C40/C37</f>
        <v>4.641744548286604E-2</v>
      </c>
      <c r="D41" s="22">
        <f>D40/D37</f>
        <v>-6.4405888538380654E-2</v>
      </c>
      <c r="E41" s="22">
        <f t="shared" ref="D41:H41" si="20">E40/E37</f>
        <v>6.1138439915671118E-2</v>
      </c>
      <c r="F41" s="22">
        <f t="shared" si="20"/>
        <v>1.6990291262135922E-2</v>
      </c>
      <c r="G41" s="22">
        <f t="shared" si="20"/>
        <v>1.8822826411711981E-2</v>
      </c>
      <c r="H41" s="22">
        <f t="shared" si="20"/>
        <v>-4.4270833333333336E-2</v>
      </c>
      <c r="I41" s="77">
        <v>7.0000000000000007E-2</v>
      </c>
      <c r="J41" s="72">
        <v>7.0000000000000007E-2</v>
      </c>
      <c r="K41" s="72">
        <v>7.0000000000000007E-2</v>
      </c>
      <c r="L41" s="72">
        <v>7.0000000000000007E-2</v>
      </c>
      <c r="M41" s="72">
        <v>7.0000000000000007E-2</v>
      </c>
      <c r="N41" s="72">
        <v>7.0000000000000007E-2</v>
      </c>
      <c r="O41" s="72">
        <v>7.0000000000000007E-2</v>
      </c>
      <c r="P41" s="72">
        <v>7.0000000000000007E-2</v>
      </c>
      <c r="Q41" s="72">
        <v>7.0000000000000007E-2</v>
      </c>
      <c r="R41" s="72">
        <v>7.0000000000000007E-2</v>
      </c>
    </row>
    <row r="42" spans="1:86" s="60" customFormat="1" x14ac:dyDescent="0.25">
      <c r="A42" s="1"/>
      <c r="B42" s="1"/>
      <c r="C42" s="1"/>
      <c r="D42" s="1"/>
      <c r="E42" s="1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2"/>
    </row>
    <row r="43" spans="1:86" s="60" customFormat="1" x14ac:dyDescent="0.25">
      <c r="A43" s="1"/>
      <c r="B43" s="9" t="s">
        <v>23</v>
      </c>
      <c r="C43" s="9">
        <v>2018</v>
      </c>
      <c r="D43" s="9">
        <v>2019</v>
      </c>
      <c r="E43" s="9">
        <v>2020</v>
      </c>
      <c r="F43" s="9">
        <v>2021</v>
      </c>
      <c r="G43" s="9">
        <v>2022</v>
      </c>
      <c r="H43" s="9">
        <v>2023</v>
      </c>
      <c r="I43" s="80">
        <v>2023</v>
      </c>
      <c r="J43" s="9">
        <v>2024</v>
      </c>
      <c r="K43" s="9">
        <v>2025</v>
      </c>
      <c r="L43" s="9">
        <v>2026</v>
      </c>
      <c r="M43" s="9">
        <v>2027</v>
      </c>
      <c r="N43" s="9">
        <v>2028</v>
      </c>
      <c r="O43" s="9">
        <v>2029</v>
      </c>
      <c r="P43" s="9">
        <v>2030</v>
      </c>
      <c r="Q43" s="9">
        <v>2031</v>
      </c>
      <c r="R43" s="9">
        <v>2032</v>
      </c>
      <c r="S43" s="61">
        <v>2033</v>
      </c>
      <c r="T43" s="61">
        <v>2034</v>
      </c>
      <c r="U43" s="61">
        <v>2035</v>
      </c>
      <c r="V43" s="61">
        <v>2036</v>
      </c>
      <c r="W43" s="61">
        <v>2037</v>
      </c>
      <c r="X43" s="61">
        <v>2038</v>
      </c>
      <c r="Y43" s="61">
        <v>2039</v>
      </c>
      <c r="Z43" s="61">
        <v>2040</v>
      </c>
      <c r="AA43" s="61">
        <v>2041</v>
      </c>
      <c r="AB43" s="61">
        <v>2042</v>
      </c>
      <c r="AC43" s="61">
        <v>2043</v>
      </c>
      <c r="AD43" s="61">
        <v>2044</v>
      </c>
      <c r="AE43" s="61">
        <v>2045</v>
      </c>
      <c r="AF43" s="61">
        <v>2046</v>
      </c>
      <c r="AG43" s="61">
        <v>2047</v>
      </c>
      <c r="AH43" s="61">
        <v>2048</v>
      </c>
      <c r="AI43" s="61">
        <v>2049</v>
      </c>
      <c r="AJ43" s="61">
        <v>2050</v>
      </c>
      <c r="AK43" s="61">
        <v>2051</v>
      </c>
      <c r="AL43" s="61">
        <v>2052</v>
      </c>
      <c r="AM43" s="61">
        <v>2053</v>
      </c>
      <c r="AN43" s="61">
        <v>2054</v>
      </c>
      <c r="AO43" s="61">
        <v>2055</v>
      </c>
      <c r="AP43" s="61">
        <v>2056</v>
      </c>
      <c r="AQ43" s="61">
        <v>2057</v>
      </c>
      <c r="AR43" s="61">
        <v>2058</v>
      </c>
      <c r="AS43" s="61">
        <v>2059</v>
      </c>
      <c r="AT43" s="61">
        <v>2060</v>
      </c>
      <c r="AU43" s="61">
        <v>2061</v>
      </c>
      <c r="AV43" s="61">
        <v>2062</v>
      </c>
      <c r="AW43" s="61">
        <v>2063</v>
      </c>
      <c r="AX43" s="61">
        <v>2064</v>
      </c>
      <c r="AY43" s="61">
        <v>2065</v>
      </c>
      <c r="AZ43" s="61">
        <v>2066</v>
      </c>
      <c r="BA43" s="61">
        <v>2067</v>
      </c>
      <c r="BB43" s="61">
        <v>2068</v>
      </c>
      <c r="BC43" s="61">
        <v>2069</v>
      </c>
      <c r="BD43" s="61">
        <v>2070</v>
      </c>
      <c r="BE43" s="61">
        <v>2071</v>
      </c>
      <c r="BF43" s="61">
        <v>2072</v>
      </c>
      <c r="BG43" s="61">
        <v>2073</v>
      </c>
      <c r="BH43" s="61">
        <v>2074</v>
      </c>
      <c r="BI43" s="61">
        <v>2075</v>
      </c>
      <c r="BJ43" s="61">
        <v>2076</v>
      </c>
      <c r="BK43" s="61">
        <v>2077</v>
      </c>
      <c r="BL43" s="61">
        <v>2078</v>
      </c>
      <c r="BM43" s="61">
        <v>2079</v>
      </c>
      <c r="BN43" s="61">
        <v>2080</v>
      </c>
      <c r="BO43" s="61">
        <v>2081</v>
      </c>
      <c r="BP43" s="61">
        <v>2082</v>
      </c>
      <c r="BQ43" s="61">
        <v>2083</v>
      </c>
      <c r="BR43" s="61">
        <v>2084</v>
      </c>
      <c r="BS43" s="61">
        <v>2085</v>
      </c>
      <c r="BT43" s="61">
        <v>2086</v>
      </c>
      <c r="BU43" s="61">
        <v>2087</v>
      </c>
      <c r="BV43" s="61">
        <v>2088</v>
      </c>
      <c r="BW43" s="61">
        <v>2089</v>
      </c>
      <c r="BX43" s="61">
        <v>2090</v>
      </c>
      <c r="BY43" s="61">
        <v>2091</v>
      </c>
      <c r="BZ43" s="61">
        <v>2092</v>
      </c>
      <c r="CA43" s="61">
        <v>2093</v>
      </c>
      <c r="CB43" s="61">
        <v>2094</v>
      </c>
      <c r="CC43" s="61">
        <v>2095</v>
      </c>
      <c r="CD43" s="61">
        <v>2096</v>
      </c>
      <c r="CE43" s="61">
        <v>2097</v>
      </c>
      <c r="CF43" s="61">
        <v>2098</v>
      </c>
      <c r="CG43" s="61">
        <v>2099</v>
      </c>
      <c r="CH43" s="61">
        <v>2100</v>
      </c>
    </row>
    <row r="44" spans="1:86" s="60" customFormat="1" x14ac:dyDescent="0.25">
      <c r="A44" s="1"/>
      <c r="B44" s="1" t="s">
        <v>24</v>
      </c>
      <c r="C44" s="11">
        <v>199</v>
      </c>
      <c r="D44" s="11">
        <v>262</v>
      </c>
      <c r="E44" s="11">
        <v>381</v>
      </c>
      <c r="F44" s="25">
        <v>1098</v>
      </c>
      <c r="G44" s="11">
        <v>1174</v>
      </c>
      <c r="H44" s="11">
        <v>1544</v>
      </c>
      <c r="I44" s="21">
        <f>I45*I11</f>
        <v>1533.8765099999998</v>
      </c>
      <c r="J44" s="58">
        <f>J45*J11</f>
        <v>1568.88498564</v>
      </c>
      <c r="K44" s="58">
        <f>K45*K11</f>
        <v>1755.88113416652</v>
      </c>
      <c r="L44" s="58">
        <f>L45*L11</f>
        <v>2224.7013969889808</v>
      </c>
      <c r="M44" s="58">
        <f>M45*M11</f>
        <v>2645.1699610198984</v>
      </c>
      <c r="N44" s="58">
        <f>N45*N11</f>
        <v>3145.1070836526592</v>
      </c>
      <c r="O44" s="58">
        <f>O45*O11</f>
        <v>3739.532322463012</v>
      </c>
      <c r="P44" s="58">
        <f>P45*P11</f>
        <v>4446.3039314085217</v>
      </c>
      <c r="Q44" s="58">
        <f>Q45*Q11</f>
        <v>5286.6553744447328</v>
      </c>
      <c r="R44" s="58">
        <f>R45*R11</f>
        <v>6285.8332402147871</v>
      </c>
    </row>
    <row r="45" spans="1:86" s="60" customFormat="1" x14ac:dyDescent="0.25">
      <c r="A45" s="1"/>
      <c r="B45" s="13" t="s">
        <v>20</v>
      </c>
      <c r="C45" s="14">
        <f>C44/C11</f>
        <v>2.0485896644018942E-2</v>
      </c>
      <c r="D45" s="14">
        <f>D44/D11</f>
        <v>2.2362581085694777E-2</v>
      </c>
      <c r="E45" s="14">
        <f>E44/E11</f>
        <v>3.4896501190694269E-2</v>
      </c>
      <c r="F45" s="14">
        <f>F44/F11</f>
        <v>6.5847076461769113E-2</v>
      </c>
      <c r="G45" s="14">
        <f>G44/G11</f>
        <v>4.362042059894479E-2</v>
      </c>
      <c r="H45" s="14">
        <f>H44/H11</f>
        <v>5.7240305479350488E-2</v>
      </c>
      <c r="I45" s="20">
        <v>5.0999999999999997E-2</v>
      </c>
      <c r="J45" s="59">
        <v>4.2000000000000003E-2</v>
      </c>
      <c r="K45" s="59">
        <v>3.7999999999999999E-2</v>
      </c>
      <c r="L45" s="59">
        <v>3.7999999999999999E-2</v>
      </c>
      <c r="M45" s="59">
        <v>3.7999999999999999E-2</v>
      </c>
      <c r="N45" s="59">
        <v>3.7999999999999999E-2</v>
      </c>
      <c r="O45" s="59">
        <v>3.7999999999999999E-2</v>
      </c>
      <c r="P45" s="59">
        <v>3.7999999999999999E-2</v>
      </c>
      <c r="Q45" s="59">
        <v>3.7999999999999999E-2</v>
      </c>
      <c r="R45" s="59">
        <v>3.7999999999999999E-2</v>
      </c>
    </row>
    <row r="46" spans="1:86" s="60" customFormat="1" x14ac:dyDescent="0.25">
      <c r="A46" s="1"/>
      <c r="B46" s="1"/>
      <c r="C46" s="1"/>
      <c r="D46" s="1"/>
      <c r="E46" s="1"/>
      <c r="F46" s="2"/>
      <c r="G46" s="1"/>
      <c r="H46" s="1"/>
      <c r="I46" s="12"/>
      <c r="J46" s="68"/>
      <c r="K46" s="68"/>
      <c r="L46" s="68"/>
      <c r="M46" s="68"/>
      <c r="N46" s="68"/>
      <c r="O46" s="69"/>
      <c r="P46" s="69"/>
      <c r="Q46" s="69"/>
      <c r="R46" s="69"/>
    </row>
    <row r="47" spans="1:86" s="60" customFormat="1" x14ac:dyDescent="0.25">
      <c r="A47" s="1"/>
      <c r="B47" s="1" t="s">
        <v>25</v>
      </c>
      <c r="C47" s="11">
        <v>-593</v>
      </c>
      <c r="D47" s="11">
        <v>-600</v>
      </c>
      <c r="E47" s="11">
        <v>-489</v>
      </c>
      <c r="F47" s="25">
        <v>-1128</v>
      </c>
      <c r="G47" s="11">
        <v>-976</v>
      </c>
      <c r="H47" s="11">
        <v>-1833</v>
      </c>
      <c r="I47" s="21">
        <f>I48*I11</f>
        <v>-1654.1805499999998</v>
      </c>
      <c r="J47" s="58">
        <f>J48*J11</f>
        <v>-2241.2642652</v>
      </c>
      <c r="K47" s="58">
        <f>K48*K11</f>
        <v>-3234.5178787278005</v>
      </c>
      <c r="L47" s="58">
        <f>L48*L11</f>
        <v>-4098.1341523481233</v>
      </c>
      <c r="M47" s="58">
        <f>M48*M11</f>
        <v>-4872.6815071419187</v>
      </c>
      <c r="N47" s="58">
        <f>N48*N11</f>
        <v>-6621.2780708477039</v>
      </c>
      <c r="O47" s="58">
        <f>O48*O11</f>
        <v>-7872.6996262379198</v>
      </c>
      <c r="P47" s="58">
        <f>P48*P11</f>
        <v>-9360.6398555968881</v>
      </c>
      <c r="Q47" s="58">
        <f>Q48*Q11</f>
        <v>-11129.800788304701</v>
      </c>
      <c r="R47" s="58">
        <f>R48*R11</f>
        <v>-13233.33313729429</v>
      </c>
    </row>
    <row r="48" spans="1:86" s="60" customFormat="1" x14ac:dyDescent="0.25">
      <c r="A48" s="1"/>
      <c r="B48" s="13" t="s">
        <v>20</v>
      </c>
      <c r="C48" s="14">
        <f>C47/C11</f>
        <v>-6.1045913115091617E-2</v>
      </c>
      <c r="D48" s="14">
        <f>D47/D11</f>
        <v>-5.1212017753499491E-2</v>
      </c>
      <c r="E48" s="14">
        <f>E47/E11</f>
        <v>-4.478842278805642E-2</v>
      </c>
      <c r="F48" s="14">
        <f>F47/F11</f>
        <v>-6.7646176911544231E-2</v>
      </c>
      <c r="G48" s="14">
        <f>G47/G11</f>
        <v>-3.6263654603552055E-2</v>
      </c>
      <c r="H48" s="14">
        <f>H47/H11</f>
        <v>-6.7954326388373995E-2</v>
      </c>
      <c r="I48" s="20">
        <v>-5.5E-2</v>
      </c>
      <c r="J48" s="59">
        <v>-0.06</v>
      </c>
      <c r="K48" s="59">
        <v>-7.0000000000000007E-2</v>
      </c>
      <c r="L48" s="59">
        <v>-7.0000000000000007E-2</v>
      </c>
      <c r="M48" s="59">
        <v>-7.0000000000000007E-2</v>
      </c>
      <c r="N48" s="59">
        <v>-0.08</v>
      </c>
      <c r="O48" s="59">
        <v>-0.08</v>
      </c>
      <c r="P48" s="59">
        <v>-0.08</v>
      </c>
      <c r="Q48" s="59">
        <v>-0.08</v>
      </c>
      <c r="R48" s="59">
        <v>-0.08</v>
      </c>
    </row>
    <row r="49" spans="1:86" s="60" customFormat="1" x14ac:dyDescent="0.25">
      <c r="A49" s="1"/>
      <c r="B49" s="1"/>
      <c r="C49" s="1"/>
      <c r="D49" s="1"/>
      <c r="E49" s="1"/>
      <c r="F49" s="2"/>
      <c r="G49" s="1"/>
      <c r="H49" s="1"/>
      <c r="I49" s="12"/>
      <c r="J49" s="68"/>
      <c r="K49" s="68"/>
      <c r="L49" s="68"/>
      <c r="M49" s="68"/>
      <c r="N49" s="68"/>
      <c r="O49" s="69"/>
      <c r="P49" s="69"/>
      <c r="Q49" s="69"/>
      <c r="R49" s="69"/>
    </row>
    <row r="50" spans="1:86" s="60" customFormat="1" x14ac:dyDescent="0.25">
      <c r="A50" s="1"/>
      <c r="B50" s="1" t="s">
        <v>26</v>
      </c>
      <c r="C50" s="41">
        <v>185</v>
      </c>
      <c r="D50" s="41">
        <v>-857</v>
      </c>
      <c r="E50" s="41">
        <v>717</v>
      </c>
      <c r="F50" s="2">
        <v>-703</v>
      </c>
      <c r="G50" s="1">
        <v>-3363</v>
      </c>
      <c r="H50" s="1">
        <v>-2207</v>
      </c>
      <c r="I50" s="21">
        <f>I51*I11</f>
        <v>-601.52019999999993</v>
      </c>
      <c r="J50" s="58">
        <f>J51*J11</f>
        <v>-1720.8456281046954</v>
      </c>
      <c r="K50" s="58">
        <f>K51*K11</f>
        <v>-1920.1385478319321</v>
      </c>
      <c r="L50" s="58">
        <f>L51*L11</f>
        <v>-3479.0706958338224</v>
      </c>
      <c r="M50" s="58">
        <f>M51*M11</f>
        <v>-4336.9390133922252</v>
      </c>
      <c r="N50" s="58">
        <f>N51*N11</f>
        <v>-4292.4067374608403</v>
      </c>
      <c r="O50" s="58">
        <f>O51*O11</f>
        <v>-4612.3239988935366</v>
      </c>
      <c r="P50" s="58">
        <f>P51*P11</f>
        <v>-6008.0354464819475</v>
      </c>
      <c r="Q50" s="58">
        <f>Q51*Q11</f>
        <v>-7265.9620570356819</v>
      </c>
      <c r="R50" s="58">
        <f>R51*R11</f>
        <v>-8933.4580190079978</v>
      </c>
    </row>
    <row r="51" spans="1:86" s="60" customFormat="1" x14ac:dyDescent="0.25">
      <c r="A51" s="1"/>
      <c r="B51" s="13" t="s">
        <v>20</v>
      </c>
      <c r="C51" s="14">
        <f>C50/C11</f>
        <v>1.9044677784640723E-2</v>
      </c>
      <c r="D51" s="14">
        <f>D50/D11</f>
        <v>-7.3147832024581763E-2</v>
      </c>
      <c r="E51" s="14">
        <f>E50/E11</f>
        <v>6.5671368382487633E-2</v>
      </c>
      <c r="F51" s="14">
        <f>F50/F11</f>
        <v>-4.2158920539730138E-2</v>
      </c>
      <c r="G51" s="14">
        <f>G50/G11</f>
        <v>-0.12495355577023111</v>
      </c>
      <c r="H51" s="14">
        <f>H50/H11</f>
        <v>-8.181952991769853E-2</v>
      </c>
      <c r="I51" s="81">
        <v>-0.02</v>
      </c>
      <c r="J51" s="74">
        <f t="shared" ref="J51:R51" si="21">AVERAGE(D51:I51)</f>
        <v>-4.6068078311625654E-2</v>
      </c>
      <c r="K51" s="74">
        <f t="shared" si="21"/>
        <v>-4.1554786026132967E-2</v>
      </c>
      <c r="L51" s="74">
        <f t="shared" si="21"/>
        <v>-5.9425811760903058E-2</v>
      </c>
      <c r="M51" s="74">
        <f t="shared" si="21"/>
        <v>-6.2303626964431875E-2</v>
      </c>
      <c r="N51" s="74">
        <f t="shared" si="21"/>
        <v>-5.1861972163465352E-2</v>
      </c>
      <c r="O51" s="74">
        <f t="shared" si="21"/>
        <v>-4.6869045871093147E-2</v>
      </c>
      <c r="P51" s="74">
        <f t="shared" si="21"/>
        <v>-5.1347220182942001E-2</v>
      </c>
      <c r="Q51" s="74">
        <f t="shared" si="21"/>
        <v>-5.2227077161494738E-2</v>
      </c>
      <c r="R51" s="74">
        <f t="shared" si="21"/>
        <v>-5.4005792350721692E-2</v>
      </c>
    </row>
    <row r="52" spans="1:86" s="60" customFormat="1" x14ac:dyDescent="0.25">
      <c r="A52" s="1"/>
      <c r="B52" s="1"/>
      <c r="C52" s="1"/>
      <c r="D52" s="1"/>
      <c r="E52" s="1"/>
      <c r="F52" s="1"/>
      <c r="G52" s="1"/>
      <c r="H52" s="1"/>
      <c r="I52" s="12"/>
      <c r="J52" s="1"/>
      <c r="K52" s="1"/>
      <c r="L52" s="1"/>
      <c r="M52" s="1"/>
      <c r="N52" s="1"/>
      <c r="O52" s="1"/>
      <c r="P52" s="1"/>
      <c r="Q52" s="1"/>
      <c r="R52" s="2"/>
    </row>
    <row r="53" spans="1:86" s="60" customFormat="1" x14ac:dyDescent="0.25">
      <c r="A53" s="1"/>
      <c r="B53" s="9" t="s">
        <v>27</v>
      </c>
      <c r="C53" s="11">
        <f>C37-C40</f>
        <v>3061</v>
      </c>
      <c r="D53" s="11">
        <f>D37-D40</f>
        <v>4049</v>
      </c>
      <c r="E53" s="11">
        <f>E37-E40</f>
        <v>2672</v>
      </c>
      <c r="F53" s="11">
        <f>F37-F40</f>
        <v>4455</v>
      </c>
      <c r="G53" s="11">
        <f>G37-G40</f>
        <v>9852</v>
      </c>
      <c r="H53" s="11">
        <f>H37-H40</f>
        <v>4411</v>
      </c>
      <c r="I53" s="79">
        <f t="shared" ref="I53:R53" si="22">I37-I40</f>
        <v>8849.9260945199985</v>
      </c>
      <c r="J53" s="11">
        <f>J37-J40</f>
        <v>11196.571826446379</v>
      </c>
      <c r="K53" s="11">
        <f t="shared" si="22"/>
        <v>13940.402398130678</v>
      </c>
      <c r="L53" s="11">
        <f t="shared" si="22"/>
        <v>18157.954257450459</v>
      </c>
      <c r="M53" s="11">
        <f t="shared" si="22"/>
        <v>21881.124356499862</v>
      </c>
      <c r="N53" s="11">
        <f t="shared" si="22"/>
        <v>26016.656859878331</v>
      </c>
      <c r="O53" s="11">
        <f t="shared" si="22"/>
        <v>30933.805006395341</v>
      </c>
      <c r="P53" s="11">
        <f t="shared" si="22"/>
        <v>36780.294152604067</v>
      </c>
      <c r="Q53" s="11">
        <f t="shared" si="22"/>
        <v>43731.769747446233</v>
      </c>
      <c r="R53" s="11">
        <f t="shared" si="22"/>
        <v>51997.074229713573</v>
      </c>
    </row>
    <row r="54" spans="1:86" s="60" customFormat="1" x14ac:dyDescent="0.25">
      <c r="A54" s="1"/>
      <c r="B54" s="9" t="s">
        <v>28</v>
      </c>
      <c r="C54" s="57">
        <f>C35-C40</f>
        <v>3047</v>
      </c>
      <c r="D54" s="57">
        <f>D35-D40</f>
        <v>4141</v>
      </c>
      <c r="E54" s="57">
        <f>E35-E40</f>
        <v>2796</v>
      </c>
      <c r="F54" s="57">
        <f>F35-F40</f>
        <v>4332</v>
      </c>
      <c r="G54" s="57">
        <f>G35-G40</f>
        <v>9752</v>
      </c>
      <c r="H54" s="57">
        <f>H35-H40</f>
        <v>4368</v>
      </c>
      <c r="I54" s="79">
        <f t="shared" ref="I54:R54" si="23">I35-I40</f>
        <v>8873.9869025199987</v>
      </c>
      <c r="J54" s="57">
        <f t="shared" si="23"/>
        <v>11226.455349982381</v>
      </c>
      <c r="K54" s="57">
        <f t="shared" si="23"/>
        <v>13977.368316744711</v>
      </c>
      <c r="L54" s="57">
        <f t="shared" si="23"/>
        <v>18204.790076334437</v>
      </c>
      <c r="M54" s="57">
        <f t="shared" si="23"/>
        <v>21936.812145152915</v>
      </c>
      <c r="N54" s="57">
        <f t="shared" si="23"/>
        <v>26082.869640586807</v>
      </c>
      <c r="O54" s="57">
        <f t="shared" si="23"/>
        <v>31012.532002657717</v>
      </c>
      <c r="P54" s="57">
        <f t="shared" si="23"/>
        <v>36873.900551160041</v>
      </c>
      <c r="Q54" s="57">
        <f t="shared" si="23"/>
        <v>43843.067755329277</v>
      </c>
      <c r="R54" s="57">
        <f t="shared" si="23"/>
        <v>52129.407561086518</v>
      </c>
      <c r="S54" s="70">
        <f>R54*(1+E6)</f>
        <v>54735.877939140846</v>
      </c>
      <c r="T54" s="70">
        <f>S54*(1+E6)</f>
        <v>57472.671836097892</v>
      </c>
      <c r="U54" s="70">
        <f>T54*(1+E6)</f>
        <v>60346.305427902793</v>
      </c>
      <c r="V54" s="70">
        <f>U54*(1+E6)</f>
        <v>63363.620699297935</v>
      </c>
      <c r="W54" s="70">
        <f>V54*(1+E6)</f>
        <v>66531.80173426283</v>
      </c>
      <c r="X54" s="70">
        <f>W54*(1+E6)</f>
        <v>69858.391820975972</v>
      </c>
      <c r="Y54" s="70">
        <f>X54*(1+E6)</f>
        <v>73351.311412024777</v>
      </c>
      <c r="Z54" s="70">
        <f>Y54*(1+E6)</f>
        <v>77018.876982626025</v>
      </c>
      <c r="AA54" s="70">
        <f>Z54*(1+E6)</f>
        <v>80869.82083175733</v>
      </c>
      <c r="AB54" s="70">
        <f>AA54*(1+E6)</f>
        <v>84913.311873345199</v>
      </c>
      <c r="AC54" s="70">
        <f>AB54*(1+E6)</f>
        <v>89158.977467012461</v>
      </c>
      <c r="AD54" s="70">
        <f>AC54*(1+E6)</f>
        <v>93616.92634036309</v>
      </c>
      <c r="AE54" s="70">
        <f>AD54*(1+E6)</f>
        <v>98297.772657381254</v>
      </c>
      <c r="AF54" s="70">
        <f>AE54*(1+E6)</f>
        <v>103212.66129025033</v>
      </c>
      <c r="AG54" s="70">
        <f>AF54*(1+E6)</f>
        <v>108373.29435476285</v>
      </c>
      <c r="AH54" s="70">
        <f>AG54*(1+E6)</f>
        <v>113791.95907250101</v>
      </c>
      <c r="AI54" s="70">
        <f>AH54*(1+E6)</f>
        <v>119481.55702612606</v>
      </c>
      <c r="AJ54" s="70">
        <f>AI54*(1+E6)</f>
        <v>125455.63487743237</v>
      </c>
      <c r="AK54" s="70">
        <f>AJ54*(1+E6)</f>
        <v>131728.416621304</v>
      </c>
      <c r="AL54" s="70">
        <f>AK54*(1+E6)</f>
        <v>138314.83745236922</v>
      </c>
      <c r="AM54" s="70">
        <f>AL54*(1+E6)</f>
        <v>145230.57932498769</v>
      </c>
      <c r="AN54" s="70">
        <f>AM54*(1+E6)</f>
        <v>152492.10829123709</v>
      </c>
      <c r="AO54" s="70">
        <f>AN54*(1+E6)</f>
        <v>160116.71370579896</v>
      </c>
      <c r="AP54" s="70">
        <f>AO54*(1+E6)</f>
        <v>168122.54939108892</v>
      </c>
      <c r="AQ54" s="70">
        <f>AP54*(1+E6)</f>
        <v>176528.67686064338</v>
      </c>
      <c r="AR54" s="70">
        <f>AQ54*(1+E6)</f>
        <v>185355.11070367554</v>
      </c>
      <c r="AS54" s="70">
        <f>AR54*(1+E6)</f>
        <v>194622.86623885934</v>
      </c>
      <c r="AT54" s="70">
        <f>AS54*(1+E6)</f>
        <v>204354.00955080232</v>
      </c>
      <c r="AU54" s="70">
        <f>AT54*(1+E6)</f>
        <v>214571.71002834244</v>
      </c>
      <c r="AV54" s="70">
        <f>AU54*(1+E6)</f>
        <v>225300.29552975958</v>
      </c>
      <c r="AW54" s="70">
        <f>AV54*(1+E6)</f>
        <v>236565.31030624756</v>
      </c>
      <c r="AX54" s="70">
        <f>AW54*(1+E6)</f>
        <v>248393.57582155993</v>
      </c>
      <c r="AY54" s="70">
        <f>AX54*(1+E6)</f>
        <v>260813.25461263795</v>
      </c>
      <c r="AZ54" s="70">
        <f>AY54*(1+E6)</f>
        <v>273853.91734326986</v>
      </c>
      <c r="BA54" s="70">
        <f>AZ54*(1+E6)</f>
        <v>287546.61321043334</v>
      </c>
      <c r="BB54" s="70">
        <f>BA54*(1+E6)</f>
        <v>301923.94387095503</v>
      </c>
      <c r="BC54" s="70">
        <f>BB54*(1+E6)</f>
        <v>317020.14106450282</v>
      </c>
      <c r="BD54" s="70">
        <f>BC54*(1+E6)</f>
        <v>332871.14811772795</v>
      </c>
      <c r="BE54" s="70">
        <f>BD54*(1+E6)</f>
        <v>349514.70552361436</v>
      </c>
      <c r="BF54" s="70">
        <f>BE54*(1+E6)</f>
        <v>366990.44079979509</v>
      </c>
      <c r="BG54" s="70">
        <f>BF54*(1+E6)</f>
        <v>385339.96283978486</v>
      </c>
      <c r="BH54" s="70">
        <f>BG54*(1+E6)</f>
        <v>404606.96098177414</v>
      </c>
      <c r="BI54" s="70">
        <f>BH54*(1+E6)</f>
        <v>424837.30903086287</v>
      </c>
      <c r="BJ54" s="70">
        <f>BI54*(1+E6)</f>
        <v>446079.17448240606</v>
      </c>
      <c r="BK54" s="70">
        <f>BJ54*(1+E6)</f>
        <v>468383.1332065264</v>
      </c>
      <c r="BL54" s="70">
        <f>BK54*(1+E6)</f>
        <v>491802.28986685275</v>
      </c>
      <c r="BM54" s="70">
        <f>BL54*(1+E6)</f>
        <v>516392.40436019539</v>
      </c>
      <c r="BN54" s="70">
        <f>BM54*(1+E6)</f>
        <v>542212.02457820519</v>
      </c>
      <c r="BO54" s="70">
        <f>BN54*(1+E6)</f>
        <v>569322.62580711546</v>
      </c>
      <c r="BP54" s="70">
        <f>BO54*(1+E6)</f>
        <v>597788.75709747127</v>
      </c>
      <c r="BQ54" s="70">
        <f>BP54*(1+E6)</f>
        <v>627678.19495234487</v>
      </c>
      <c r="BR54" s="70">
        <f>BQ54*(1+E6)</f>
        <v>659062.10469996219</v>
      </c>
      <c r="BS54" s="70">
        <f>BR54*(1+E6)</f>
        <v>692015.20993496035</v>
      </c>
      <c r="BT54" s="70">
        <f>BS54*(1+E6)</f>
        <v>726615.97043170838</v>
      </c>
      <c r="BU54" s="70">
        <f>BT54*(1+E6)</f>
        <v>762946.76895329379</v>
      </c>
      <c r="BV54" s="70">
        <f>BU54*(1+E6)</f>
        <v>801094.10740095854</v>
      </c>
      <c r="BW54" s="70">
        <f>BV54*(1+E6)</f>
        <v>841148.81277100649</v>
      </c>
      <c r="BX54" s="70">
        <f>BW54*(1+E6)</f>
        <v>883206.25340955681</v>
      </c>
      <c r="BY54" s="70">
        <f>BX54*(1+E6)</f>
        <v>927366.56608003471</v>
      </c>
      <c r="BZ54" s="70">
        <f>BY54*(1+E6)</f>
        <v>973734.89438403654</v>
      </c>
      <c r="CA54" s="70">
        <f>BZ54*(1+E6)</f>
        <v>1022421.6391032384</v>
      </c>
      <c r="CB54" s="70">
        <f>CA54*(1+E6)</f>
        <v>1073542.7210584003</v>
      </c>
      <c r="CC54" s="70">
        <f>CB54*(1+E6)</f>
        <v>1127219.8571113204</v>
      </c>
      <c r="CD54" s="70">
        <f>CC54*(1+E6)</f>
        <v>1183580.8499668865</v>
      </c>
      <c r="CE54" s="70">
        <f>CD54*(1+E6)</f>
        <v>1242759.8924652308</v>
      </c>
      <c r="CF54" s="70">
        <f>CE54*(1+E6)</f>
        <v>1304897.8870884923</v>
      </c>
      <c r="CG54" s="70">
        <f>CF54*(1+E6)</f>
        <v>1370142.781442917</v>
      </c>
      <c r="CH54" s="70">
        <f>CG54*(1+E6)</f>
        <v>1438649.9205150628</v>
      </c>
    </row>
    <row r="55" spans="1:86" s="60" customFormat="1" x14ac:dyDescent="0.25">
      <c r="A55" s="1"/>
      <c r="B55" s="6"/>
      <c r="C55" s="11"/>
      <c r="D55" s="11"/>
      <c r="E55" s="11"/>
      <c r="F55" s="11"/>
      <c r="G55" s="11"/>
      <c r="H55" s="11"/>
      <c r="I55" s="12"/>
      <c r="J55" s="1"/>
      <c r="K55" s="1"/>
      <c r="L55" s="1"/>
      <c r="M55" s="1"/>
      <c r="N55" s="1"/>
      <c r="O55" s="1"/>
      <c r="P55" s="1"/>
      <c r="Q55" s="1"/>
      <c r="R55" s="2"/>
    </row>
    <row r="56" spans="1:86" s="60" customFormat="1" x14ac:dyDescent="0.25">
      <c r="A56" s="1"/>
      <c r="B56" s="9" t="s">
        <v>29</v>
      </c>
      <c r="C56" s="26">
        <f>C53+C44+C47-C50</f>
        <v>2482</v>
      </c>
      <c r="D56" s="26">
        <f>D53+D44+D47-D50</f>
        <v>4568</v>
      </c>
      <c r="E56" s="26">
        <f>E53+E44+E47-E50</f>
        <v>1847</v>
      </c>
      <c r="F56" s="26">
        <f>F53+F44+F47-F50</f>
        <v>5128</v>
      </c>
      <c r="G56" s="26">
        <f>G53+G44+G47-G50</f>
        <v>13413</v>
      </c>
      <c r="H56" s="26">
        <f>H53+H44+H47-H50</f>
        <v>6329</v>
      </c>
      <c r="I56" s="82">
        <f>I53+I44+I47-I50</f>
        <v>9331.1422545200003</v>
      </c>
      <c r="J56" s="26">
        <f t="shared" ref="J56:R56" si="24">J53+J44+J47-J50</f>
        <v>12245.038174991074</v>
      </c>
      <c r="K56" s="26">
        <f t="shared" si="24"/>
        <v>14381.90420140133</v>
      </c>
      <c r="L56" s="26">
        <f t="shared" si="24"/>
        <v>19763.59219792514</v>
      </c>
      <c r="M56" s="26">
        <f t="shared" si="24"/>
        <v>23990.551823770067</v>
      </c>
      <c r="N56" s="26">
        <f t="shared" si="24"/>
        <v>26832.892610144125</v>
      </c>
      <c r="O56" s="26">
        <f t="shared" si="24"/>
        <v>31412.961701513974</v>
      </c>
      <c r="P56" s="26">
        <f t="shared" si="24"/>
        <v>37873.993674897647</v>
      </c>
      <c r="Q56" s="26">
        <f t="shared" si="24"/>
        <v>45154.586390621946</v>
      </c>
      <c r="R56" s="26">
        <f t="shared" si="24"/>
        <v>53983.032351642061</v>
      </c>
    </row>
    <row r="57" spans="1:86" s="60" customFormat="1" x14ac:dyDescent="0.25">
      <c r="A57" s="1"/>
      <c r="B57" s="27" t="s">
        <v>30</v>
      </c>
      <c r="C57" s="1"/>
      <c r="D57" s="1"/>
      <c r="E57" s="1"/>
      <c r="F57" s="1"/>
      <c r="G57" s="1"/>
      <c r="H57" s="1"/>
      <c r="I57" s="83">
        <f>I56/((1+E5)^I9)</f>
        <v>8276.8332155007956</v>
      </c>
      <c r="J57" s="18">
        <f>J56/((1+E5)^J9)</f>
        <v>9634.2726024331569</v>
      </c>
      <c r="K57" s="18">
        <f>K56/((1+E5)^K9)</f>
        <v>10037.014978660995</v>
      </c>
      <c r="L57" s="18">
        <f>L56/((1+E5)^L9)</f>
        <v>12234.422052570364</v>
      </c>
      <c r="M57" s="18">
        <f>M56/((1+E5)^M9)</f>
        <v>13173.076242734616</v>
      </c>
      <c r="N57" s="18">
        <f>N56/((1+E5)^N9)</f>
        <v>13069.045017386403</v>
      </c>
      <c r="O57" s="18">
        <f>O56/((1+E5)^O9)</f>
        <v>13571.087160971421</v>
      </c>
      <c r="P57" s="18">
        <f>P56/((1+E5)^P9)</f>
        <v>14513.636802006393</v>
      </c>
      <c r="Q57" s="18">
        <f>Q56/((1+E5)^Q9)</f>
        <v>15348.516684960503</v>
      </c>
      <c r="R57" s="18">
        <f>R56/((1+E5)^R9)</f>
        <v>16276.132320354196</v>
      </c>
    </row>
    <row r="58" spans="1:86" s="60" customFormat="1" x14ac:dyDescent="0.25">
      <c r="A58" s="1"/>
      <c r="B58" s="28"/>
      <c r="C58" s="28"/>
      <c r="D58" s="28"/>
      <c r="E58" s="28"/>
      <c r="F58" s="28"/>
      <c r="G58" s="28"/>
      <c r="H58" s="28"/>
      <c r="I58" s="29"/>
      <c r="J58" s="28"/>
      <c r="K58" s="28"/>
      <c r="L58" s="28"/>
      <c r="M58" s="28"/>
      <c r="N58" s="28"/>
      <c r="O58" s="28"/>
      <c r="P58" s="28"/>
      <c r="Q58" s="28"/>
      <c r="R58" s="28"/>
    </row>
    <row r="59" spans="1:86" s="60" customFormat="1" x14ac:dyDescent="0.25">
      <c r="A59" s="1"/>
      <c r="B59" s="1" t="s">
        <v>31</v>
      </c>
      <c r="C59" s="30">
        <f>(R56*(1+E6))/(E5-E6)</f>
        <v>732510.34937918256</v>
      </c>
      <c r="D59" s="1"/>
      <c r="E59" s="1" t="s">
        <v>32</v>
      </c>
      <c r="F59" s="18">
        <f>NPV(E5,I54:CH54)</f>
        <v>332203.26877321553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  <c r="R59" s="2"/>
    </row>
    <row r="60" spans="1:86" s="60" customFormat="1" x14ac:dyDescent="0.25">
      <c r="A60" s="1"/>
      <c r="B60" s="3" t="s">
        <v>33</v>
      </c>
      <c r="C60" s="31">
        <f>C59/((1+E5)^R9)</f>
        <v>220855.23641692573</v>
      </c>
      <c r="D60" s="16"/>
      <c r="E60" s="3"/>
      <c r="F60" s="3"/>
      <c r="G60" s="3"/>
      <c r="H60" s="16"/>
      <c r="I60" s="12"/>
      <c r="J60" s="68"/>
      <c r="K60" s="2"/>
      <c r="L60" s="62" t="s">
        <v>58</v>
      </c>
      <c r="M60" s="63"/>
      <c r="N60" s="63"/>
      <c r="O60" s="63"/>
      <c r="P60" s="63"/>
      <c r="Q60" s="62"/>
      <c r="R60" s="69"/>
    </row>
    <row r="61" spans="1:86" s="60" customFormat="1" x14ac:dyDescent="0.25">
      <c r="A61" s="1"/>
      <c r="B61" s="6" t="s">
        <v>34</v>
      </c>
      <c r="C61" s="6"/>
      <c r="D61" s="1"/>
      <c r="E61" s="6"/>
      <c r="F61" s="6"/>
      <c r="G61" s="32" t="s">
        <v>35</v>
      </c>
      <c r="H61" s="32" t="s">
        <v>32</v>
      </c>
      <c r="I61" s="15"/>
      <c r="J61" s="2"/>
      <c r="K61" s="62"/>
      <c r="L61" s="90">
        <f>D67</f>
        <v>138.14490272591149</v>
      </c>
      <c r="M61" s="64">
        <f>N61-2.5%</f>
        <v>0</v>
      </c>
      <c r="N61" s="64">
        <f>O61-2.5%</f>
        <v>2.5000000000000001E-2</v>
      </c>
      <c r="O61" s="64">
        <v>0.05</v>
      </c>
      <c r="P61" s="64">
        <f>O61+2.5%</f>
        <v>7.5000000000000011E-2</v>
      </c>
      <c r="Q61" s="64">
        <f>P61+2.5%</f>
        <v>0.1</v>
      </c>
      <c r="R61" s="2"/>
    </row>
    <row r="62" spans="1:86" s="60" customFormat="1" x14ac:dyDescent="0.25">
      <c r="A62" s="1"/>
      <c r="B62" s="33" t="s">
        <v>36</v>
      </c>
      <c r="C62" s="1"/>
      <c r="D62" s="25">
        <f>3389+9907</f>
        <v>13296</v>
      </c>
      <c r="E62" s="1"/>
      <c r="F62" s="1"/>
      <c r="G62" s="30">
        <f>C60+SUM(I57:R57)</f>
        <v>346989.27349450462</v>
      </c>
      <c r="H62" s="18">
        <f>F59</f>
        <v>332203.26877321553</v>
      </c>
      <c r="I62" s="15"/>
      <c r="J62" s="2"/>
      <c r="K62" s="62"/>
      <c r="L62" s="65">
        <f>L63-2%</f>
        <v>8.7380727818062193E-2</v>
      </c>
      <c r="M62" s="87">
        <f t="dataTable" ref="M62:Q66" dt2D="1" dtr="1" r1="E6" r2="E5"/>
        <v>168.89552674006461</v>
      </c>
      <c r="N62" s="87">
        <v>213.40682483431982</v>
      </c>
      <c r="O62" s="87">
        <v>309.78289835637224</v>
      </c>
      <c r="P62" s="87">
        <v>680.08708865849974</v>
      </c>
      <c r="Q62" s="87">
        <v>125.44220058174096</v>
      </c>
      <c r="R62" s="2"/>
    </row>
    <row r="63" spans="1:86" s="60" customFormat="1" x14ac:dyDescent="0.25">
      <c r="A63" s="1"/>
      <c r="B63" s="34" t="s">
        <v>37</v>
      </c>
      <c r="C63" s="3"/>
      <c r="D63" s="35">
        <v>6563</v>
      </c>
      <c r="E63" s="3"/>
      <c r="F63" s="3"/>
      <c r="G63" s="3"/>
      <c r="H63" s="3"/>
      <c r="I63" s="15"/>
      <c r="J63" s="2"/>
      <c r="K63" s="63"/>
      <c r="L63" s="65">
        <f>L64-2%</f>
        <v>0.1073807278180622</v>
      </c>
      <c r="M63" s="87">
        <v>128.65048677740933</v>
      </c>
      <c r="N63" s="88">
        <v>152.32476084216285</v>
      </c>
      <c r="O63" s="88">
        <v>195.42186460031519</v>
      </c>
      <c r="P63" s="88">
        <v>294.42853722585016</v>
      </c>
      <c r="Q63" s="87">
        <v>840.40102201127706</v>
      </c>
      <c r="R63" s="2"/>
    </row>
    <row r="64" spans="1:86" s="60" customFormat="1" x14ac:dyDescent="0.25">
      <c r="A64" s="1"/>
      <c r="B64" s="6" t="s">
        <v>38</v>
      </c>
      <c r="C64" s="6"/>
      <c r="D64" s="6"/>
      <c r="E64" s="6"/>
      <c r="F64" s="6"/>
      <c r="G64" s="36">
        <f>(G62+D62-D63)</f>
        <v>353722.27349450462</v>
      </c>
      <c r="H64" s="37">
        <f>(H62+D62-D63)</f>
        <v>338936.26877321553</v>
      </c>
      <c r="I64" s="15"/>
      <c r="J64" s="2"/>
      <c r="K64" s="62" t="s">
        <v>1</v>
      </c>
      <c r="L64" s="67">
        <v>0.1273807278180622</v>
      </c>
      <c r="M64" s="87">
        <v>101.98522928167927</v>
      </c>
      <c r="N64" s="88">
        <v>115.73389291481357</v>
      </c>
      <c r="O64" s="89">
        <v>138.14490272591149</v>
      </c>
      <c r="P64" s="88">
        <v>180.32043721669825</v>
      </c>
      <c r="Q64" s="87">
        <v>284.58268301452244</v>
      </c>
      <c r="R64" s="2"/>
    </row>
    <row r="65" spans="1:18" s="60" customFormat="1" x14ac:dyDescent="0.25">
      <c r="A65" s="1"/>
      <c r="B65" s="3" t="s">
        <v>39</v>
      </c>
      <c r="C65" s="3"/>
      <c r="D65" s="43">
        <v>2507</v>
      </c>
      <c r="E65" s="3"/>
      <c r="F65" s="3"/>
      <c r="G65" s="3"/>
      <c r="H65" s="3"/>
      <c r="I65" s="15"/>
      <c r="J65" s="2"/>
      <c r="K65" s="62"/>
      <c r="L65" s="66">
        <f>L64+2%</f>
        <v>0.14738072781806219</v>
      </c>
      <c r="M65" s="87">
        <v>83.284216796001743</v>
      </c>
      <c r="N65" s="88">
        <v>91.786877450547792</v>
      </c>
      <c r="O65" s="88">
        <v>104.61057814377043</v>
      </c>
      <c r="P65" s="88">
        <v>125.99390629439833</v>
      </c>
      <c r="Q65" s="87">
        <v>167.75376867015413</v>
      </c>
      <c r="R65" s="2"/>
    </row>
    <row r="66" spans="1:18" s="60" customFormat="1" x14ac:dyDescent="0.25">
      <c r="A66" s="1"/>
      <c r="B66" s="17" t="s">
        <v>40</v>
      </c>
      <c r="C66" s="17"/>
      <c r="D66" s="91">
        <f>D65*J5</f>
        <v>689174.29999999993</v>
      </c>
      <c r="E66" s="17"/>
      <c r="F66" s="17"/>
      <c r="G66" s="17"/>
      <c r="H66" s="38"/>
      <c r="I66" s="1"/>
      <c r="J66" s="2"/>
      <c r="K66" s="62"/>
      <c r="L66" s="66">
        <f>L65+2%</f>
        <v>0.16738072781806218</v>
      </c>
      <c r="M66" s="87">
        <v>69.605348245058622</v>
      </c>
      <c r="N66" s="87">
        <v>75.117229153641887</v>
      </c>
      <c r="O66" s="87">
        <v>82.967353886570891</v>
      </c>
      <c r="P66" s="87">
        <v>95.005433679036088</v>
      </c>
      <c r="Q66" s="87">
        <v>115.57653835292159</v>
      </c>
      <c r="R66" s="2"/>
    </row>
    <row r="67" spans="1:18" s="60" customFormat="1" x14ac:dyDescent="0.25">
      <c r="A67" s="1"/>
      <c r="B67" s="6" t="s">
        <v>41</v>
      </c>
      <c r="C67" s="6" t="s">
        <v>42</v>
      </c>
      <c r="D67" s="39">
        <f>(G67+H67)/2</f>
        <v>138.14490272591149</v>
      </c>
      <c r="E67" s="2"/>
      <c r="F67" s="6"/>
      <c r="G67" s="39">
        <f>G64/D65</f>
        <v>141.09384662724557</v>
      </c>
      <c r="H67" s="39">
        <f>H64/D65</f>
        <v>135.19595882457739</v>
      </c>
      <c r="I67" s="15"/>
      <c r="J67" s="2"/>
      <c r="K67" s="2"/>
      <c r="L67" s="2"/>
      <c r="M67" s="2"/>
      <c r="N67" s="2"/>
      <c r="O67" s="2"/>
      <c r="P67" s="2"/>
      <c r="Q67" s="2"/>
      <c r="R67" s="2"/>
    </row>
  </sheetData>
  <sortState xmlns:xlrd2="http://schemas.microsoft.com/office/spreadsheetml/2017/richdata2" columnSort="1" ref="C10:H57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16" sqref="D16"/>
    </sheetView>
  </sheetViews>
  <sheetFormatPr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44" t="s">
        <v>1</v>
      </c>
      <c r="C2" s="2"/>
      <c r="D2" s="2"/>
      <c r="E2" s="2"/>
      <c r="F2" s="2"/>
      <c r="G2" s="2"/>
      <c r="H2" s="2"/>
      <c r="I2" s="2"/>
      <c r="J2" s="2"/>
      <c r="K2" s="2"/>
      <c r="L2" s="45"/>
    </row>
    <row r="3" spans="1:14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2"/>
    </row>
    <row r="4" spans="1:14" x14ac:dyDescent="0.25">
      <c r="A4" s="47" t="s">
        <v>46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47</v>
      </c>
      <c r="C6" s="2"/>
      <c r="D6" s="48">
        <v>7.0000000000000007E-2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48</v>
      </c>
      <c r="C7" s="2"/>
      <c r="D7" s="48">
        <v>5.0999999999999997E-2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49</v>
      </c>
      <c r="C8" s="2"/>
      <c r="D8" s="49">
        <v>1.77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50</v>
      </c>
      <c r="C9" s="2"/>
      <c r="D9" s="48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1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38</v>
      </c>
      <c r="B12" s="2"/>
      <c r="C12" s="25">
        <f>'NVDA DCF'!D66</f>
        <v>689174.29999999993</v>
      </c>
      <c r="D12" s="2"/>
      <c r="E12" s="2" t="s">
        <v>37</v>
      </c>
      <c r="F12" s="2"/>
      <c r="G12" s="25">
        <v>19081</v>
      </c>
      <c r="H12" s="2"/>
      <c r="I12" s="2" t="s">
        <v>51</v>
      </c>
      <c r="J12" s="2"/>
      <c r="K12" s="25">
        <f>G12+C12</f>
        <v>708255.29999999993</v>
      </c>
      <c r="L12" s="2"/>
    </row>
    <row r="13" spans="1:14" x14ac:dyDescent="0.25">
      <c r="A13" s="2" t="s">
        <v>52</v>
      </c>
      <c r="B13" s="2"/>
      <c r="C13" s="50">
        <f>C12/K12</f>
        <v>0.9730591497162111</v>
      </c>
      <c r="D13" s="2"/>
      <c r="E13" s="2" t="s">
        <v>53</v>
      </c>
      <c r="F13" s="2"/>
      <c r="G13" s="51">
        <f>G12/K12</f>
        <v>2.6940850283788915E-2</v>
      </c>
      <c r="H13" s="2"/>
      <c r="I13" s="2"/>
      <c r="J13" s="2"/>
      <c r="K13" s="2"/>
      <c r="L13" s="2"/>
      <c r="M13" s="41"/>
    </row>
    <row r="14" spans="1:14" x14ac:dyDescent="0.25">
      <c r="A14" s="2" t="s">
        <v>54</v>
      </c>
      <c r="B14" s="2"/>
      <c r="C14" s="52">
        <f>D7+D8*(D9)</f>
        <v>0.13064999999999999</v>
      </c>
      <c r="D14" s="2"/>
      <c r="E14" s="2" t="s">
        <v>55</v>
      </c>
      <c r="F14" s="2"/>
      <c r="G14" s="53">
        <v>0.01</v>
      </c>
      <c r="H14" s="2"/>
      <c r="I14" s="54" t="s">
        <v>1</v>
      </c>
      <c r="J14" s="55"/>
      <c r="K14" s="56">
        <f>C13*C14+G14*G13*(1-D6)</f>
        <v>0.1273807278180622</v>
      </c>
      <c r="L14" s="2"/>
    </row>
    <row r="15" spans="1:14" x14ac:dyDescent="0.25">
      <c r="D15" s="41"/>
      <c r="G15" s="41"/>
      <c r="J15" s="41"/>
      <c r="M15" s="41"/>
    </row>
    <row r="16" spans="1:14" x14ac:dyDescent="0.25">
      <c r="A16" t="s">
        <v>45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4:13" x14ac:dyDescent="0.25">
      <c r="D17" s="41"/>
      <c r="G17" s="41"/>
      <c r="J17" s="41"/>
      <c r="M17" s="41"/>
    </row>
    <row r="21" spans="4:13" x14ac:dyDescent="0.25">
      <c r="D21" s="41"/>
      <c r="E21" s="41"/>
      <c r="F21" s="41"/>
      <c r="G21" s="41"/>
      <c r="H21" s="41"/>
      <c r="I21" s="41"/>
      <c r="J21" s="41"/>
      <c r="K21" s="41"/>
      <c r="L21" s="41"/>
      <c r="M2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NVDA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2023-05-04T19:20:47Z</dcterms:modified>
</cp:coreProperties>
</file>