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1\Downloads\"/>
    </mc:Choice>
  </mc:AlternateContent>
  <xr:revisionPtr revIDLastSave="0" documentId="13_ncr:1_{F26CF944-F7CD-4631-885E-1178CD00C507}" xr6:coauthVersionLast="47" xr6:coauthVersionMax="47" xr10:uidLastSave="{00000000-0000-0000-0000-000000000000}"/>
  <bookViews>
    <workbookView xWindow="-120" yWindow="-120" windowWidth="20730" windowHeight="11040" xr2:uid="{3F256251-7061-49B2-9B0B-301EC1E08ECF}"/>
  </bookViews>
  <sheets>
    <sheet name="COHR DCF" sheetId="1" r:id="rId1"/>
    <sheet name="WACC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I50" i="1"/>
  <c r="D6" i="2"/>
  <c r="K17" i="1"/>
  <c r="L17" i="1"/>
  <c r="M17" i="1" s="1"/>
  <c r="N17" i="1" s="1"/>
  <c r="O17" i="1" s="1"/>
  <c r="P17" i="1" s="1"/>
  <c r="Q17" i="1" s="1"/>
  <c r="R17" i="1" s="1"/>
  <c r="D60" i="1"/>
  <c r="J17" i="1"/>
  <c r="D59" i="1"/>
  <c r="J11" i="1"/>
  <c r="C14" i="2"/>
  <c r="G12" i="2"/>
  <c r="C12" i="2"/>
  <c r="H48" i="1"/>
  <c r="C50" i="1"/>
  <c r="J39" i="1"/>
  <c r="K39" i="1" s="1"/>
  <c r="L39" i="1" s="1"/>
  <c r="D29" i="1"/>
  <c r="D27" i="1"/>
  <c r="H29" i="1"/>
  <c r="E24" i="1"/>
  <c r="J22" i="1"/>
  <c r="K22" i="1" s="1"/>
  <c r="L22" i="1" s="1"/>
  <c r="I22" i="1"/>
  <c r="H24" i="1"/>
  <c r="H25" i="1" s="1"/>
  <c r="F25" i="1"/>
  <c r="I11" i="1"/>
  <c r="I24" i="1" s="1"/>
  <c r="H12" i="1"/>
  <c r="D12" i="1"/>
  <c r="C38" i="1"/>
  <c r="D38" i="1"/>
  <c r="E38" i="1"/>
  <c r="D24" i="1"/>
  <c r="D25" i="1" s="1"/>
  <c r="C24" i="1"/>
  <c r="F24" i="1"/>
  <c r="H44" i="1"/>
  <c r="F38" i="1"/>
  <c r="G38" i="1"/>
  <c r="H38" i="1"/>
  <c r="F27" i="1"/>
  <c r="F31" i="1" s="1"/>
  <c r="C45" i="1"/>
  <c r="D45" i="1"/>
  <c r="E45" i="1"/>
  <c r="F45" i="1"/>
  <c r="G45" i="1"/>
  <c r="H45" i="1"/>
  <c r="C42" i="1"/>
  <c r="D42" i="1"/>
  <c r="E42" i="1"/>
  <c r="F42" i="1"/>
  <c r="G42" i="1"/>
  <c r="H42" i="1"/>
  <c r="F39" i="1"/>
  <c r="G39" i="1"/>
  <c r="H39" i="1"/>
  <c r="C39" i="1"/>
  <c r="D39" i="1"/>
  <c r="E39" i="1"/>
  <c r="G24" i="1"/>
  <c r="C16" i="1"/>
  <c r="C17" i="1" s="1"/>
  <c r="D16" i="1"/>
  <c r="E16" i="1"/>
  <c r="E17" i="1" s="1"/>
  <c r="F16" i="1"/>
  <c r="G16" i="1"/>
  <c r="G17" i="1" s="1"/>
  <c r="H16" i="1"/>
  <c r="H27" i="1" s="1"/>
  <c r="E12" i="1"/>
  <c r="F12" i="1"/>
  <c r="G12" i="1"/>
  <c r="J9" i="1"/>
  <c r="K9" i="1" s="1"/>
  <c r="L9" i="1" s="1"/>
  <c r="M9" i="1" s="1"/>
  <c r="N9" i="1" s="1"/>
  <c r="O9" i="1" s="1"/>
  <c r="P9" i="1" s="1"/>
  <c r="Q9" i="1" s="1"/>
  <c r="R9" i="1" s="1"/>
  <c r="K12" i="2" l="1"/>
  <c r="G13" i="2"/>
  <c r="C13" i="2"/>
  <c r="I16" i="1"/>
  <c r="J16" i="1"/>
  <c r="I31" i="1"/>
  <c r="I34" i="1" s="1"/>
  <c r="I47" i="1" s="1"/>
  <c r="J31" i="1"/>
  <c r="J34" i="1" s="1"/>
  <c r="J47" i="1" s="1"/>
  <c r="I14" i="1"/>
  <c r="I38" i="1"/>
  <c r="M39" i="1"/>
  <c r="M22" i="1"/>
  <c r="C27" i="1"/>
  <c r="E27" i="1"/>
  <c r="F29" i="1"/>
  <c r="F48" i="1" s="1"/>
  <c r="G27" i="1"/>
  <c r="G29" i="1" s="1"/>
  <c r="G48" i="1" s="1"/>
  <c r="H31" i="1"/>
  <c r="H47" i="1" s="1"/>
  <c r="D31" i="1"/>
  <c r="I44" i="1"/>
  <c r="I41" i="1"/>
  <c r="H17" i="1"/>
  <c r="F17" i="1"/>
  <c r="D17" i="1"/>
  <c r="G25" i="1"/>
  <c r="E25" i="1"/>
  <c r="I19" i="1" s="1"/>
  <c r="C25" i="1"/>
  <c r="J41" i="1" l="1"/>
  <c r="J24" i="1"/>
  <c r="J20" i="1" s="1"/>
  <c r="J38" i="1"/>
  <c r="K11" i="1"/>
  <c r="K14" i="2"/>
  <c r="E5" i="1" s="1"/>
  <c r="N39" i="1"/>
  <c r="I20" i="1"/>
  <c r="I27" i="1" s="1"/>
  <c r="I21" i="1"/>
  <c r="O22" i="1"/>
  <c r="N22" i="1"/>
  <c r="E31" i="1"/>
  <c r="E29" i="1"/>
  <c r="E48" i="1" s="1"/>
  <c r="G31" i="1"/>
  <c r="C29" i="1"/>
  <c r="C48" i="1" s="1"/>
  <c r="D48" i="1"/>
  <c r="C31" i="1"/>
  <c r="C47" i="1" s="1"/>
  <c r="D35" i="1"/>
  <c r="D32" i="1"/>
  <c r="D47" i="1"/>
  <c r="D50" i="1" s="1"/>
  <c r="F35" i="1"/>
  <c r="F32" i="1"/>
  <c r="F47" i="1"/>
  <c r="F50" i="1" s="1"/>
  <c r="H35" i="1"/>
  <c r="H32" i="1"/>
  <c r="E47" i="1"/>
  <c r="E50" i="1" s="1"/>
  <c r="E35" i="1"/>
  <c r="E32" i="1"/>
  <c r="G47" i="1"/>
  <c r="G50" i="1" s="1"/>
  <c r="G35" i="1"/>
  <c r="G32" i="1"/>
  <c r="J44" i="1"/>
  <c r="J50" i="1" s="1"/>
  <c r="K41" i="1"/>
  <c r="J14" i="1"/>
  <c r="C35" i="1"/>
  <c r="L11" i="1" l="1"/>
  <c r="L16" i="1" s="1"/>
  <c r="L14" i="1" s="1"/>
  <c r="K16" i="1"/>
  <c r="K14" i="1" s="1"/>
  <c r="I51" i="1"/>
  <c r="K38" i="1"/>
  <c r="J19" i="1"/>
  <c r="J27" i="1" s="1"/>
  <c r="J21" i="1"/>
  <c r="J51" i="1"/>
  <c r="K24" i="1"/>
  <c r="K21" i="1" s="1"/>
  <c r="K31" i="1"/>
  <c r="K34" i="1" s="1"/>
  <c r="K47" i="1" s="1"/>
  <c r="M11" i="1"/>
  <c r="M44" i="1" s="1"/>
  <c r="I29" i="1"/>
  <c r="I48" i="1" s="1"/>
  <c r="O39" i="1"/>
  <c r="P39" i="1" s="1"/>
  <c r="Q22" i="1"/>
  <c r="P22" i="1"/>
  <c r="C32" i="1"/>
  <c r="L41" i="1"/>
  <c r="L31" i="1"/>
  <c r="K44" i="1"/>
  <c r="L24" i="1" l="1"/>
  <c r="L20" i="1" s="1"/>
  <c r="L38" i="1"/>
  <c r="L44" i="1"/>
  <c r="K50" i="1"/>
  <c r="K51" i="1" s="1"/>
  <c r="J29" i="1"/>
  <c r="J48" i="1" s="1"/>
  <c r="K20" i="1"/>
  <c r="K19" i="1"/>
  <c r="N11" i="1"/>
  <c r="M16" i="1"/>
  <c r="Q39" i="1"/>
  <c r="R39" i="1" s="1"/>
  <c r="R22" i="1"/>
  <c r="L34" i="1"/>
  <c r="L47" i="1" s="1"/>
  <c r="M31" i="1"/>
  <c r="M38" i="1"/>
  <c r="M24" i="1"/>
  <c r="M41" i="1"/>
  <c r="L50" i="1" l="1"/>
  <c r="L21" i="1"/>
  <c r="L19" i="1"/>
  <c r="L27" i="1" s="1"/>
  <c r="L51" i="1"/>
  <c r="K27" i="1"/>
  <c r="K29" i="1" s="1"/>
  <c r="K48" i="1" s="1"/>
  <c r="O11" i="1"/>
  <c r="O44" i="1" s="1"/>
  <c r="N16" i="1"/>
  <c r="N14" i="1" s="1"/>
  <c r="M21" i="1"/>
  <c r="M19" i="1"/>
  <c r="M20" i="1"/>
  <c r="N41" i="1"/>
  <c r="N38" i="1"/>
  <c r="N24" i="1"/>
  <c r="N31" i="1"/>
  <c r="M14" i="1"/>
  <c r="M34" i="1"/>
  <c r="M47" i="1" s="1"/>
  <c r="N44" i="1"/>
  <c r="L29" i="1" l="1"/>
  <c r="L48" i="1" s="1"/>
  <c r="M50" i="1"/>
  <c r="M51" i="1" s="1"/>
  <c r="P11" i="1"/>
  <c r="O16" i="1"/>
  <c r="M27" i="1"/>
  <c r="M29" i="1" s="1"/>
  <c r="M48" i="1" s="1"/>
  <c r="N20" i="1"/>
  <c r="N21" i="1"/>
  <c r="N19" i="1"/>
  <c r="N34" i="1"/>
  <c r="N47" i="1" s="1"/>
  <c r="O31" i="1"/>
  <c r="O41" i="1"/>
  <c r="O24" i="1"/>
  <c r="O38" i="1"/>
  <c r="N27" i="1" l="1"/>
  <c r="N50" i="1"/>
  <c r="N51" i="1" s="1"/>
  <c r="Q11" i="1"/>
  <c r="P16" i="1"/>
  <c r="N29" i="1"/>
  <c r="N48" i="1" s="1"/>
  <c r="O21" i="1"/>
  <c r="O19" i="1"/>
  <c r="O20" i="1"/>
  <c r="P41" i="1"/>
  <c r="P38" i="1"/>
  <c r="P31" i="1"/>
  <c r="P24" i="1"/>
  <c r="P44" i="1"/>
  <c r="O14" i="1"/>
  <c r="O34" i="1"/>
  <c r="O47" i="1" s="1"/>
  <c r="O50" i="1" l="1"/>
  <c r="O51" i="1" s="1"/>
  <c r="R11" i="1"/>
  <c r="R16" i="1" s="1"/>
  <c r="Q16" i="1"/>
  <c r="P20" i="1"/>
  <c r="P21" i="1"/>
  <c r="P19" i="1"/>
  <c r="O27" i="1"/>
  <c r="O29" i="1" s="1"/>
  <c r="O48" i="1" s="1"/>
  <c r="Q31" i="1"/>
  <c r="Q38" i="1"/>
  <c r="Q24" i="1"/>
  <c r="Q41" i="1"/>
  <c r="Q44" i="1"/>
  <c r="P14" i="1"/>
  <c r="P34" i="1"/>
  <c r="P47" i="1" s="1"/>
  <c r="P50" i="1" s="1"/>
  <c r="P27" i="1" l="1"/>
  <c r="P51" i="1"/>
  <c r="P29" i="1"/>
  <c r="P48" i="1" s="1"/>
  <c r="Q21" i="1"/>
  <c r="Q19" i="1"/>
  <c r="Q20" i="1"/>
  <c r="R41" i="1"/>
  <c r="R38" i="1"/>
  <c r="R14" i="1"/>
  <c r="R24" i="1"/>
  <c r="R31" i="1"/>
  <c r="R44" i="1"/>
  <c r="Q14" i="1"/>
  <c r="Q34" i="1"/>
  <c r="Q47" i="1" s="1"/>
  <c r="Q50" i="1" l="1"/>
  <c r="Q51" i="1" s="1"/>
  <c r="Q27" i="1"/>
  <c r="Q29" i="1" s="1"/>
  <c r="Q48" i="1" s="1"/>
  <c r="R20" i="1"/>
  <c r="R21" i="1"/>
  <c r="R19" i="1"/>
  <c r="R27" i="1" s="1"/>
  <c r="R34" i="1"/>
  <c r="R47" i="1" s="1"/>
  <c r="R50" i="1" l="1"/>
  <c r="C53" i="1" s="1"/>
  <c r="C54" i="1" s="1"/>
  <c r="R29" i="1"/>
  <c r="R48" i="1" s="1"/>
  <c r="R51" i="1"/>
  <c r="S48" i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F53" i="1" s="1"/>
  <c r="H56" i="1" s="1"/>
  <c r="H58" i="1" s="1"/>
  <c r="G56" i="1" l="1"/>
  <c r="G58" i="1" s="1"/>
  <c r="H61" i="1"/>
  <c r="G61" i="1" l="1"/>
  <c r="E61" i="1" s="1"/>
  <c r="J6" i="1" s="1"/>
  <c r="N5" i="1" s="1"/>
</calcChain>
</file>

<file path=xl/sharedStrings.xml><?xml version="1.0" encoding="utf-8"?>
<sst xmlns="http://schemas.openxmlformats.org/spreadsheetml/2006/main" count="63" uniqueCount="55">
  <si>
    <t xml:space="preserve">Valuation Assumptions: </t>
  </si>
  <si>
    <t>WACC</t>
  </si>
  <si>
    <t>Current price   :</t>
  </si>
  <si>
    <t xml:space="preserve">Upside/Downside : </t>
  </si>
  <si>
    <t>Terminal rate</t>
  </si>
  <si>
    <t xml:space="preserve">Implied price   : </t>
  </si>
  <si>
    <t>Income Statement</t>
  </si>
  <si>
    <t>Revenue</t>
  </si>
  <si>
    <t>% growth</t>
  </si>
  <si>
    <t>COGS</t>
  </si>
  <si>
    <t>Gross Profit</t>
  </si>
  <si>
    <t>% Gross Margin</t>
  </si>
  <si>
    <t>R&amp;D</t>
  </si>
  <si>
    <t xml:space="preserve">Other </t>
  </si>
  <si>
    <t>Opex</t>
  </si>
  <si>
    <t>% Rev</t>
  </si>
  <si>
    <t>Operating income</t>
  </si>
  <si>
    <t>Pre-tax income</t>
  </si>
  <si>
    <t>EBIT</t>
  </si>
  <si>
    <t>% Revenue</t>
  </si>
  <si>
    <t>Taxes</t>
  </si>
  <si>
    <t>% EBIT</t>
  </si>
  <si>
    <t>Cash Flow Statement</t>
  </si>
  <si>
    <t>D&amp;A</t>
  </si>
  <si>
    <t>CapEx</t>
  </si>
  <si>
    <t>change NWC</t>
  </si>
  <si>
    <t>EBIAT</t>
  </si>
  <si>
    <t>Net income</t>
  </si>
  <si>
    <t>FCF</t>
  </si>
  <si>
    <t>Present value FCF</t>
  </si>
  <si>
    <t>TV</t>
  </si>
  <si>
    <t>DNI</t>
  </si>
  <si>
    <t>PV of TV</t>
  </si>
  <si>
    <t>Enterprise Value</t>
  </si>
  <si>
    <t>DCF</t>
  </si>
  <si>
    <t>Cash</t>
  </si>
  <si>
    <t>Debt</t>
  </si>
  <si>
    <t>Equity Value</t>
  </si>
  <si>
    <t>Shares</t>
  </si>
  <si>
    <t xml:space="preserve">Current market cap </t>
  </si>
  <si>
    <t>Share Price</t>
  </si>
  <si>
    <t>Mean:</t>
  </si>
  <si>
    <t>SG&amp;A</t>
  </si>
  <si>
    <t xml:space="preserve">Interest </t>
  </si>
  <si>
    <t xml:space="preserve">Assumpions: </t>
  </si>
  <si>
    <t>Tax Rate</t>
  </si>
  <si>
    <t>Risk Free Rate</t>
  </si>
  <si>
    <t>Beta</t>
  </si>
  <si>
    <t>Market Risk Premium</t>
  </si>
  <si>
    <t>D+E</t>
  </si>
  <si>
    <t>% Equity</t>
  </si>
  <si>
    <t>% Debt</t>
  </si>
  <si>
    <t>Cost of Equity</t>
  </si>
  <si>
    <t>Cost of Debt</t>
  </si>
  <si>
    <t>Coherent Corp. 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</si>
</sst>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0" xfId="0" applyFont="1" applyFill="1"/>
    <xf numFmtId="0" fontId="0" fillId="2" borderId="0" xfId="0" applyFill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horizontal="left"/>
    </xf>
    <xf numFmtId="164" fontId="3" fillId="2" borderId="2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6" fillId="3" borderId="0" xfId="0" applyFont="1" applyFill="1"/>
    <xf numFmtId="0" fontId="6" fillId="4" borderId="0" xfId="0" applyFont="1" applyFill="1"/>
    <xf numFmtId="0" fontId="6" fillId="4" borderId="3" xfId="0" applyFont="1" applyFill="1" applyBorder="1"/>
    <xf numFmtId="3" fontId="3" fillId="2" borderId="0" xfId="0" applyNumberFormat="1" applyFont="1" applyFill="1"/>
    <xf numFmtId="0" fontId="3" fillId="2" borderId="4" xfId="0" applyFont="1" applyFill="1" applyBorder="1"/>
    <xf numFmtId="0" fontId="7" fillId="2" borderId="0" xfId="0" applyFont="1" applyFill="1"/>
    <xf numFmtId="164" fontId="7" fillId="2" borderId="0" xfId="1" applyNumberFormat="1" applyFont="1" applyFill="1"/>
    <xf numFmtId="164" fontId="8" fillId="2" borderId="3" xfId="1" applyNumberFormat="1" applyFont="1" applyFill="1" applyBorder="1"/>
    <xf numFmtId="0" fontId="3" fillId="2" borderId="3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1" fontId="3" fillId="2" borderId="3" xfId="0" applyNumberFormat="1" applyFont="1" applyFill="1" applyBorder="1"/>
    <xf numFmtId="1" fontId="3" fillId="2" borderId="0" xfId="0" applyNumberFormat="1" applyFont="1" applyFill="1"/>
    <xf numFmtId="10" fontId="8" fillId="2" borderId="3" xfId="0" applyNumberFormat="1" applyFont="1" applyFill="1" applyBorder="1"/>
    <xf numFmtId="10" fontId="8" fillId="2" borderId="0" xfId="0" applyNumberFormat="1" applyFont="1" applyFill="1"/>
    <xf numFmtId="1" fontId="3" fillId="0" borderId="4" xfId="0" applyNumberFormat="1" applyFont="1" applyBorder="1"/>
    <xf numFmtId="1" fontId="3" fillId="0" borderId="0" xfId="0" applyNumberFormat="1" applyFont="1"/>
    <xf numFmtId="164" fontId="9" fillId="2" borderId="4" xfId="1" applyNumberFormat="1" applyFont="1" applyFill="1" applyBorder="1"/>
    <xf numFmtId="164" fontId="7" fillId="2" borderId="4" xfId="1" applyNumberFormat="1" applyFont="1" applyFill="1" applyBorder="1"/>
    <xf numFmtId="1" fontId="3" fillId="2" borderId="4" xfId="0" applyNumberFormat="1" applyFont="1" applyFill="1" applyBorder="1"/>
    <xf numFmtId="164" fontId="3" fillId="2" borderId="0" xfId="1" applyNumberFormat="1" applyFont="1" applyFill="1"/>
    <xf numFmtId="10" fontId="3" fillId="2" borderId="0" xfId="1" applyNumberFormat="1" applyFont="1" applyFill="1"/>
    <xf numFmtId="0" fontId="0" fillId="2" borderId="4" xfId="0" applyFill="1" applyBorder="1"/>
    <xf numFmtId="3" fontId="0" fillId="2" borderId="0" xfId="0" applyNumberFormat="1" applyFill="1"/>
    <xf numFmtId="0" fontId="6" fillId="3" borderId="3" xfId="0" applyFont="1" applyFill="1" applyBorder="1"/>
    <xf numFmtId="3" fontId="3" fillId="2" borderId="3" xfId="0" applyNumberFormat="1" applyFont="1" applyFill="1" applyBorder="1"/>
    <xf numFmtId="3" fontId="3" fillId="0" borderId="0" xfId="0" applyNumberFormat="1" applyFont="1"/>
    <xf numFmtId="0" fontId="3" fillId="4" borderId="0" xfId="0" applyFont="1" applyFill="1"/>
    <xf numFmtId="0" fontId="3" fillId="2" borderId="9" xfId="0" applyFont="1" applyFill="1" applyBorder="1"/>
    <xf numFmtId="0" fontId="3" fillId="2" borderId="10" xfId="0" applyFont="1" applyFill="1" applyBorder="1"/>
    <xf numFmtId="1" fontId="0" fillId="2" borderId="0" xfId="0" applyNumberFormat="1" applyFill="1"/>
    <xf numFmtId="1" fontId="0" fillId="2" borderId="6" xfId="0" applyNumberFormat="1" applyFill="1" applyBorder="1"/>
    <xf numFmtId="0" fontId="3" fillId="2" borderId="11" xfId="0" applyFont="1" applyFill="1" applyBorder="1"/>
    <xf numFmtId="0" fontId="0" fillId="2" borderId="6" xfId="0" applyFill="1" applyBorder="1"/>
    <xf numFmtId="0" fontId="0" fillId="5" borderId="0" xfId="0" applyFill="1"/>
    <xf numFmtId="0" fontId="3" fillId="2" borderId="0" xfId="0" quotePrefix="1" applyFont="1" applyFill="1"/>
    <xf numFmtId="0" fontId="3" fillId="2" borderId="1" xfId="0" quotePrefix="1" applyFont="1" applyFill="1" applyBorder="1"/>
    <xf numFmtId="3" fontId="6" fillId="2" borderId="0" xfId="0" applyNumberFormat="1" applyFont="1" applyFill="1"/>
    <xf numFmtId="3" fontId="2" fillId="2" borderId="0" xfId="0" applyNumberFormat="1" applyFont="1" applyFill="1"/>
    <xf numFmtId="0" fontId="0" fillId="2" borderId="8" xfId="0" applyFill="1" applyBorder="1"/>
    <xf numFmtId="0" fontId="3" fillId="2" borderId="12" xfId="0" applyFont="1" applyFill="1" applyBorder="1"/>
    <xf numFmtId="2" fontId="6" fillId="2" borderId="0" xfId="0" applyNumberFormat="1" applyFont="1" applyFill="1"/>
    <xf numFmtId="2" fontId="2" fillId="2" borderId="0" xfId="0" applyNumberFormat="1" applyFont="1" applyFill="1"/>
    <xf numFmtId="1" fontId="3" fillId="2" borderId="5" xfId="0" applyNumberFormat="1" applyFont="1" applyFill="1" applyBorder="1"/>
    <xf numFmtId="3" fontId="0" fillId="0" borderId="0" xfId="0" applyNumberFormat="1"/>
    <xf numFmtId="164" fontId="8" fillId="2" borderId="0" xfId="1" applyNumberFormat="1" applyFont="1" applyFill="1" applyBorder="1"/>
    <xf numFmtId="3" fontId="3" fillId="2" borderId="4" xfId="0" applyNumberFormat="1" applyFont="1" applyFill="1" applyBorder="1"/>
    <xf numFmtId="164" fontId="8" fillId="2" borderId="4" xfId="1" applyNumberFormat="1" applyFont="1" applyFill="1" applyBorder="1"/>
    <xf numFmtId="164" fontId="7" fillId="2" borderId="0" xfId="1" applyNumberFormat="1" applyFont="1" applyFill="1" applyBorder="1"/>
    <xf numFmtId="3" fontId="0" fillId="2" borderId="1" xfId="0" applyNumberFormat="1" applyFill="1" applyBorder="1"/>
    <xf numFmtId="0" fontId="10" fillId="2" borderId="0" xfId="0" applyFont="1" applyFill="1"/>
    <xf numFmtId="0" fontId="0" fillId="2" borderId="1" xfId="0" applyFill="1" applyBorder="1"/>
    <xf numFmtId="0" fontId="0" fillId="2" borderId="7" xfId="0" applyFill="1" applyBorder="1"/>
    <xf numFmtId="0" fontId="0" fillId="6" borderId="0" xfId="0" applyFill="1"/>
    <xf numFmtId="164" fontId="0" fillId="7" borderId="0" xfId="0" applyNumberFormat="1" applyFill="1" applyAlignment="1">
      <alignment horizontal="right"/>
    </xf>
    <xf numFmtId="0" fontId="0" fillId="7" borderId="0" xfId="0" applyFill="1" applyAlignment="1">
      <alignment horizontal="right"/>
    </xf>
    <xf numFmtId="9" fontId="0" fillId="2" borderId="0" xfId="1" applyFont="1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164" fontId="0" fillId="2" borderId="2" xfId="0" applyNumberFormat="1" applyFill="1" applyBorder="1" applyAlignment="1">
      <alignment horizontal="right"/>
    </xf>
    <xf numFmtId="0" fontId="2" fillId="2" borderId="13" xfId="0" applyFont="1" applyFill="1" applyBorder="1"/>
    <xf numFmtId="0" fontId="0" fillId="2" borderId="14" xfId="0" applyFill="1" applyBorder="1"/>
    <xf numFmtId="10" fontId="2" fillId="2" borderId="15" xfId="0" applyNumberFormat="1" applyFont="1" applyFill="1" applyBorder="1"/>
    <xf numFmtId="0" fontId="0" fillId="8" borderId="0" xfId="0" applyFill="1"/>
    <xf numFmtId="1" fontId="3" fillId="8" borderId="0" xfId="0" applyNumberFormat="1" applyFont="1" applyFill="1"/>
    <xf numFmtId="3" fontId="3" fillId="0" borderId="0" xfId="0" applyNumberFormat="1" applyFont="1" applyBorder="1"/>
    <xf numFmtId="3" fontId="3" fillId="0" borderId="4" xfId="0" applyNumberFormat="1" applyFont="1" applyBorder="1"/>
    <xf numFmtId="164" fontId="3" fillId="2" borderId="0" xfId="0" applyNumberFormat="1" applyFont="1" applyFill="1" applyBorder="1"/>
    <xf numFmtId="164" fontId="3" fillId="2" borderId="4" xfId="0" applyNumberFormat="1" applyFont="1" applyFill="1" applyBorder="1"/>
    <xf numFmtId="164" fontId="9" fillId="2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4064-8197-4774-A1FA-A1F3B33925A7}">
  <dimension ref="A1:CH62"/>
  <sheetViews>
    <sheetView tabSelected="1" workbookViewId="0">
      <selection activeCell="J8" sqref="J8"/>
    </sheetView>
  </sheetViews>
  <sheetFormatPr defaultRowHeight="15" x14ac:dyDescent="0.25"/>
  <cols>
    <col min="1" max="6" width="9.140625" style="2"/>
    <col min="7" max="7" width="10.140625" style="2" bestFit="1" customWidth="1"/>
    <col min="8" max="16384" width="9.140625" style="2"/>
  </cols>
  <sheetData>
    <row r="1" spans="1:18" s="74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spans="1:18" s="74" customFormat="1" ht="23.25" x14ac:dyDescent="0.35">
      <c r="A2" s="3"/>
      <c r="B2" s="4" t="s">
        <v>54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2"/>
    </row>
    <row r="3" spans="1:18" s="74" customFormat="1" ht="21" x14ac:dyDescent="0.35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4" spans="1:18" s="74" customFormat="1" x14ac:dyDescent="0.25">
      <c r="A4" s="1"/>
      <c r="B4" s="6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</row>
    <row r="5" spans="1:18" s="74" customFormat="1" x14ac:dyDescent="0.25">
      <c r="A5" s="1"/>
      <c r="B5" s="1"/>
      <c r="C5" s="7" t="s">
        <v>1</v>
      </c>
      <c r="D5" s="1"/>
      <c r="E5" s="8">
        <f>WACC!K14</f>
        <v>0.11088836407580635</v>
      </c>
      <c r="F5" s="2"/>
      <c r="G5" s="1"/>
      <c r="H5" s="1" t="s">
        <v>2</v>
      </c>
      <c r="I5" s="1"/>
      <c r="J5" s="7">
        <v>34.08</v>
      </c>
      <c r="K5" s="1"/>
      <c r="L5" s="1" t="s">
        <v>3</v>
      </c>
      <c r="M5" s="1"/>
      <c r="N5" s="7">
        <f>(J6/J5)-1</f>
        <v>0.44975466259272956</v>
      </c>
      <c r="O5" s="1"/>
      <c r="P5" s="1"/>
      <c r="Q5" s="1"/>
      <c r="R5" s="2"/>
    </row>
    <row r="6" spans="1:18" s="74" customFormat="1" x14ac:dyDescent="0.25">
      <c r="A6" s="1"/>
      <c r="B6" s="1"/>
      <c r="C6" s="7" t="s">
        <v>4</v>
      </c>
      <c r="D6" s="1"/>
      <c r="E6" s="8">
        <v>-0.01</v>
      </c>
      <c r="F6" s="2"/>
      <c r="G6" s="1"/>
      <c r="H6" s="1" t="s">
        <v>5</v>
      </c>
      <c r="I6" s="1"/>
      <c r="J6" s="7">
        <f>E61</f>
        <v>49.407638901160219</v>
      </c>
      <c r="K6" s="1"/>
      <c r="L6" s="1"/>
      <c r="M6" s="1"/>
      <c r="N6" s="1"/>
      <c r="O6" s="1"/>
      <c r="P6" s="1"/>
      <c r="Q6" s="1"/>
      <c r="R6" s="2"/>
    </row>
    <row r="7" spans="1:18" s="74" customFormat="1" x14ac:dyDescent="0.25">
      <c r="A7" s="1"/>
      <c r="B7" s="1"/>
      <c r="C7" s="1"/>
      <c r="D7" s="1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8" s="74" customFormat="1" x14ac:dyDescent="0.25">
      <c r="A8" s="1"/>
      <c r="B8" s="1"/>
      <c r="C8" s="1"/>
      <c r="D8" s="1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</row>
    <row r="9" spans="1:18" s="74" customFormat="1" x14ac:dyDescent="0.25">
      <c r="A9" s="1"/>
      <c r="B9" s="1"/>
      <c r="C9" s="1"/>
      <c r="D9" s="1"/>
      <c r="E9" s="1"/>
      <c r="F9" s="1"/>
      <c r="G9" s="1"/>
      <c r="H9" s="1"/>
      <c r="I9" s="1">
        <v>1</v>
      </c>
      <c r="J9" s="1">
        <f>I9+1</f>
        <v>2</v>
      </c>
      <c r="K9" s="1">
        <f t="shared" ref="K9:R9" si="0">J9+1</f>
        <v>3</v>
      </c>
      <c r="L9" s="1">
        <f t="shared" si="0"/>
        <v>4</v>
      </c>
      <c r="M9" s="1">
        <f t="shared" si="0"/>
        <v>5</v>
      </c>
      <c r="N9" s="1">
        <f t="shared" si="0"/>
        <v>6</v>
      </c>
      <c r="O9" s="1">
        <f t="shared" si="0"/>
        <v>7</v>
      </c>
      <c r="P9" s="1">
        <f t="shared" si="0"/>
        <v>8</v>
      </c>
      <c r="Q9" s="1">
        <f t="shared" si="0"/>
        <v>9</v>
      </c>
      <c r="R9" s="1">
        <f t="shared" si="0"/>
        <v>10</v>
      </c>
    </row>
    <row r="10" spans="1:18" s="74" customFormat="1" x14ac:dyDescent="0.25">
      <c r="A10" s="1"/>
      <c r="B10" s="10" t="s">
        <v>6</v>
      </c>
      <c r="C10" s="10">
        <v>2017</v>
      </c>
      <c r="D10" s="10">
        <v>2018</v>
      </c>
      <c r="E10" s="10">
        <v>2019</v>
      </c>
      <c r="F10" s="11">
        <v>2020</v>
      </c>
      <c r="G10" s="10">
        <v>2021</v>
      </c>
      <c r="H10" s="10">
        <v>2022</v>
      </c>
      <c r="I10" s="12">
        <v>2023</v>
      </c>
      <c r="J10" s="11">
        <v>2024</v>
      </c>
      <c r="K10" s="11">
        <v>2025</v>
      </c>
      <c r="L10" s="11">
        <v>2026</v>
      </c>
      <c r="M10" s="11">
        <v>2027</v>
      </c>
      <c r="N10" s="11">
        <v>2028</v>
      </c>
      <c r="O10" s="11">
        <v>2029</v>
      </c>
      <c r="P10" s="11">
        <v>2030</v>
      </c>
      <c r="Q10" s="11">
        <v>2031</v>
      </c>
      <c r="R10" s="11">
        <v>2032</v>
      </c>
    </row>
    <row r="11" spans="1:18" s="74" customFormat="1" x14ac:dyDescent="0.25">
      <c r="A11" s="1"/>
      <c r="B11" s="1" t="s">
        <v>7</v>
      </c>
      <c r="C11" s="13">
        <v>972046</v>
      </c>
      <c r="D11" s="13">
        <v>1158794</v>
      </c>
      <c r="E11" s="13">
        <v>1362496</v>
      </c>
      <c r="F11" s="13">
        <v>2380071</v>
      </c>
      <c r="G11" s="13">
        <v>3105891</v>
      </c>
      <c r="H11" s="13">
        <v>3316616</v>
      </c>
      <c r="I11" s="14">
        <f>H11*(1+I12)</f>
        <v>5400000</v>
      </c>
      <c r="J11" s="1">
        <f>I11*(1+J12)</f>
        <v>5778000</v>
      </c>
      <c r="K11" s="1">
        <f t="shared" ref="K11:R11" si="1">J11*(1+K12)</f>
        <v>6182460</v>
      </c>
      <c r="L11" s="1">
        <f t="shared" si="1"/>
        <v>6615232.2000000002</v>
      </c>
      <c r="M11" s="1">
        <f t="shared" si="1"/>
        <v>7078298.4540000008</v>
      </c>
      <c r="N11" s="1">
        <f t="shared" si="1"/>
        <v>7573779.345780001</v>
      </c>
      <c r="O11" s="1">
        <f t="shared" si="1"/>
        <v>8103943.8999846019</v>
      </c>
      <c r="P11" s="1">
        <f t="shared" si="1"/>
        <v>8671219.9729835242</v>
      </c>
      <c r="Q11" s="1">
        <f t="shared" si="1"/>
        <v>9278205.3710923716</v>
      </c>
      <c r="R11" s="1">
        <f t="shared" si="1"/>
        <v>9927679.7470688391</v>
      </c>
    </row>
    <row r="12" spans="1:18" s="74" customFormat="1" x14ac:dyDescent="0.25">
      <c r="A12" s="1"/>
      <c r="B12" s="15" t="s">
        <v>8</v>
      </c>
      <c r="C12" s="16"/>
      <c r="D12" s="16">
        <f>(D11/C11)-1</f>
        <v>0.19211847998963005</v>
      </c>
      <c r="E12" s="16">
        <f>(E11/D11)-1</f>
        <v>0.17578793124576064</v>
      </c>
      <c r="F12" s="16">
        <f>(F11/E11)-1</f>
        <v>0.74684622927333355</v>
      </c>
      <c r="G12" s="16">
        <f>(G11/F11)-1</f>
        <v>0.30495728908927511</v>
      </c>
      <c r="H12" s="16">
        <f>(H11/G11)-1</f>
        <v>6.7846875502070025E-2</v>
      </c>
      <c r="I12" s="17">
        <v>0.62816557599673883</v>
      </c>
      <c r="J12" s="56">
        <v>7.0000000000000007E-2</v>
      </c>
      <c r="K12" s="56">
        <v>7.0000000000000007E-2</v>
      </c>
      <c r="L12" s="56">
        <v>7.0000000000000007E-2</v>
      </c>
      <c r="M12" s="56">
        <v>7.0000000000000007E-2</v>
      </c>
      <c r="N12" s="56">
        <v>7.0000000000000007E-2</v>
      </c>
      <c r="O12" s="56">
        <v>7.0000000000000007E-2</v>
      </c>
      <c r="P12" s="56">
        <v>7.0000000000000007E-2</v>
      </c>
      <c r="Q12" s="56">
        <v>7.0000000000000007E-2</v>
      </c>
      <c r="R12" s="56">
        <v>7.0000000000000007E-2</v>
      </c>
    </row>
    <row r="13" spans="1:18" s="74" customFormat="1" x14ac:dyDescent="0.25">
      <c r="A13" s="1"/>
      <c r="B13" s="6"/>
      <c r="C13" s="1"/>
      <c r="D13" s="1"/>
      <c r="E13" s="1"/>
      <c r="F13" s="1"/>
      <c r="G13" s="1"/>
      <c r="H13" s="1"/>
      <c r="I13" s="18"/>
      <c r="J13" s="1"/>
      <c r="K13" s="1"/>
      <c r="L13" s="1"/>
      <c r="M13" s="1"/>
      <c r="N13" s="1"/>
      <c r="O13" s="1"/>
      <c r="P13" s="1"/>
      <c r="Q13" s="1"/>
      <c r="R13" s="2"/>
    </row>
    <row r="14" spans="1:18" s="74" customFormat="1" x14ac:dyDescent="0.25">
      <c r="A14" s="1"/>
      <c r="B14" s="1" t="s">
        <v>9</v>
      </c>
      <c r="C14" s="13">
        <v>583684</v>
      </c>
      <c r="D14" s="13">
        <v>696591</v>
      </c>
      <c r="E14" s="13">
        <v>841147</v>
      </c>
      <c r="F14" s="13">
        <v>1588890</v>
      </c>
      <c r="G14" s="13">
        <v>1928432</v>
      </c>
      <c r="H14" s="13">
        <v>2051120</v>
      </c>
      <c r="I14" s="54">
        <f t="shared" ref="I14:R14" si="2">I11-I16</f>
        <v>3244320</v>
      </c>
      <c r="J14" s="20">
        <f t="shared" si="2"/>
        <v>3471422.4</v>
      </c>
      <c r="K14" s="20">
        <f t="shared" si="2"/>
        <v>3714421.9679999999</v>
      </c>
      <c r="L14" s="20">
        <f t="shared" si="2"/>
        <v>3974431.5057600001</v>
      </c>
      <c r="M14" s="20">
        <f t="shared" si="2"/>
        <v>4252641.7111632004</v>
      </c>
      <c r="N14" s="20">
        <f t="shared" si="2"/>
        <v>4550326.6309446245</v>
      </c>
      <c r="O14" s="20">
        <f t="shared" si="2"/>
        <v>4868849.4951107483</v>
      </c>
      <c r="P14" s="20">
        <f t="shared" si="2"/>
        <v>5209668.959768502</v>
      </c>
      <c r="Q14" s="20">
        <f t="shared" si="2"/>
        <v>5574345.7869522963</v>
      </c>
      <c r="R14" s="20">
        <f t="shared" si="2"/>
        <v>5964549.9920389587</v>
      </c>
    </row>
    <row r="15" spans="1:18" s="74" customFormat="1" x14ac:dyDescent="0.25">
      <c r="A15" s="1"/>
      <c r="B15" s="21"/>
      <c r="C15" s="21"/>
      <c r="D15" s="21"/>
      <c r="E15" s="21"/>
      <c r="F15" s="21"/>
      <c r="G15" s="21"/>
      <c r="H15" s="21"/>
      <c r="I15" s="18"/>
      <c r="J15" s="1"/>
      <c r="K15" s="1"/>
      <c r="L15" s="1"/>
      <c r="M15" s="1"/>
      <c r="N15" s="1"/>
      <c r="O15" s="1"/>
      <c r="P15" s="1"/>
      <c r="Q15" s="1"/>
      <c r="R15" s="2"/>
    </row>
    <row r="16" spans="1:18" s="74" customFormat="1" x14ac:dyDescent="0.25">
      <c r="A16" s="1"/>
      <c r="B16" s="1" t="s">
        <v>10</v>
      </c>
      <c r="C16" s="13">
        <f t="shared" ref="C16:H16" si="3">C11-C14</f>
        <v>388362</v>
      </c>
      <c r="D16" s="13">
        <f t="shared" si="3"/>
        <v>462203</v>
      </c>
      <c r="E16" s="13">
        <f t="shared" si="3"/>
        <v>521349</v>
      </c>
      <c r="F16" s="13">
        <f t="shared" si="3"/>
        <v>791181</v>
      </c>
      <c r="G16" s="13">
        <f t="shared" si="3"/>
        <v>1177459</v>
      </c>
      <c r="H16" s="13">
        <f t="shared" si="3"/>
        <v>1265496</v>
      </c>
      <c r="I16" s="30">
        <f>I11*I17</f>
        <v>2155680</v>
      </c>
      <c r="J16" s="23">
        <f t="shared" ref="J16:R16" si="4">J11*J17</f>
        <v>2306577.6</v>
      </c>
      <c r="K16" s="23">
        <f>K11*K17</f>
        <v>2468038.0320000001</v>
      </c>
      <c r="L16" s="23">
        <f t="shared" si="4"/>
        <v>2640800.6942400001</v>
      </c>
      <c r="M16" s="23">
        <f t="shared" si="4"/>
        <v>2825656.7428368004</v>
      </c>
      <c r="N16" s="23">
        <f t="shared" si="4"/>
        <v>3023452.7148353765</v>
      </c>
      <c r="O16" s="23">
        <f t="shared" si="4"/>
        <v>3235094.4048738531</v>
      </c>
      <c r="P16" s="23">
        <f t="shared" si="4"/>
        <v>3461551.0132150226</v>
      </c>
      <c r="Q16" s="23">
        <f t="shared" si="4"/>
        <v>3703859.5841400749</v>
      </c>
      <c r="R16" s="23">
        <f t="shared" si="4"/>
        <v>3963129.7550298804</v>
      </c>
    </row>
    <row r="17" spans="1:18" s="74" customFormat="1" x14ac:dyDescent="0.25">
      <c r="A17" s="1"/>
      <c r="B17" s="15" t="s">
        <v>11</v>
      </c>
      <c r="C17" s="16">
        <f t="shared" ref="C17:H17" si="5">C16/C11</f>
        <v>0.39953047489522103</v>
      </c>
      <c r="D17" s="16">
        <f t="shared" si="5"/>
        <v>0.39886554469560592</v>
      </c>
      <c r="E17" s="16">
        <f t="shared" si="5"/>
        <v>0.38264259124430455</v>
      </c>
      <c r="F17" s="16">
        <f t="shared" si="5"/>
        <v>0.33241907489314393</v>
      </c>
      <c r="G17" s="16">
        <f t="shared" si="5"/>
        <v>0.37910506196128585</v>
      </c>
      <c r="H17" s="16">
        <f t="shared" si="5"/>
        <v>0.38156241180769795</v>
      </c>
      <c r="I17" s="24">
        <v>0.3992</v>
      </c>
      <c r="J17" s="25">
        <f>I17</f>
        <v>0.3992</v>
      </c>
      <c r="K17" s="25">
        <f t="shared" ref="K17:R17" si="6">J17</f>
        <v>0.3992</v>
      </c>
      <c r="L17" s="25">
        <f t="shared" si="6"/>
        <v>0.3992</v>
      </c>
      <c r="M17" s="25">
        <f t="shared" si="6"/>
        <v>0.3992</v>
      </c>
      <c r="N17" s="25">
        <f t="shared" si="6"/>
        <v>0.3992</v>
      </c>
      <c r="O17" s="25">
        <f t="shared" si="6"/>
        <v>0.3992</v>
      </c>
      <c r="P17" s="25">
        <f t="shared" si="6"/>
        <v>0.3992</v>
      </c>
      <c r="Q17" s="25">
        <f t="shared" si="6"/>
        <v>0.3992</v>
      </c>
      <c r="R17" s="25">
        <f t="shared" si="6"/>
        <v>0.3992</v>
      </c>
    </row>
    <row r="18" spans="1:18" s="74" customFormat="1" x14ac:dyDescent="0.25">
      <c r="A18" s="1"/>
      <c r="B18" s="6"/>
      <c r="C18" s="1"/>
      <c r="D18" s="1"/>
      <c r="E18" s="1"/>
      <c r="F18" s="1"/>
      <c r="G18" s="1"/>
      <c r="H18" s="1"/>
      <c r="I18" s="18"/>
      <c r="J18" s="1"/>
      <c r="K18" s="1"/>
      <c r="L18" s="1"/>
      <c r="M18" s="1"/>
      <c r="N18" s="1"/>
      <c r="O18" s="1"/>
      <c r="P18" s="1"/>
      <c r="Q18" s="1"/>
      <c r="R18" s="2"/>
    </row>
    <row r="19" spans="1:18" s="74" customFormat="1" x14ac:dyDescent="0.25">
      <c r="A19" s="1"/>
      <c r="B19" s="1" t="s">
        <v>12</v>
      </c>
      <c r="C19" s="13">
        <v>96806</v>
      </c>
      <c r="D19" s="13">
        <v>116875</v>
      </c>
      <c r="E19" s="13">
        <v>139163</v>
      </c>
      <c r="F19" s="13">
        <v>339073</v>
      </c>
      <c r="G19" s="13">
        <v>330105</v>
      </c>
      <c r="H19" s="13">
        <v>377106</v>
      </c>
      <c r="I19" s="30">
        <f>I24*0.372</f>
        <v>582552</v>
      </c>
      <c r="J19" s="23">
        <f t="shared" ref="J19:R19" si="7">J24*0.372</f>
        <v>623330.64</v>
      </c>
      <c r="K19" s="23">
        <f t="shared" si="7"/>
        <v>666963.78479999991</v>
      </c>
      <c r="L19" s="23">
        <f t="shared" si="7"/>
        <v>713651.24973599997</v>
      </c>
      <c r="M19" s="23">
        <f t="shared" si="7"/>
        <v>763606.83721751999</v>
      </c>
      <c r="N19" s="23">
        <f t="shared" si="7"/>
        <v>817059.31582274649</v>
      </c>
      <c r="O19" s="23">
        <f t="shared" si="7"/>
        <v>874253.46793033881</v>
      </c>
      <c r="P19" s="23">
        <f t="shared" si="7"/>
        <v>935451.21068546246</v>
      </c>
      <c r="Q19" s="23">
        <f t="shared" si="7"/>
        <v>1000932.7954334449</v>
      </c>
      <c r="R19" s="23">
        <f t="shared" si="7"/>
        <v>1070998.0911137862</v>
      </c>
    </row>
    <row r="20" spans="1:18" s="74" customFormat="1" x14ac:dyDescent="0.25">
      <c r="A20" s="1"/>
      <c r="B20" s="1" t="s">
        <v>42</v>
      </c>
      <c r="C20" s="13">
        <v>176000</v>
      </c>
      <c r="D20" s="13">
        <v>208565</v>
      </c>
      <c r="E20" s="13">
        <v>233518</v>
      </c>
      <c r="F20" s="13">
        <v>412629</v>
      </c>
      <c r="G20" s="13">
        <v>445235</v>
      </c>
      <c r="H20" s="13">
        <v>474096</v>
      </c>
      <c r="I20" s="30">
        <f>I24*0.56</f>
        <v>876960.00000000012</v>
      </c>
      <c r="J20" s="23">
        <f t="shared" ref="J20:R20" si="8">J24*0.56</f>
        <v>938347.20000000007</v>
      </c>
      <c r="K20" s="23">
        <f t="shared" si="8"/>
        <v>1004031.5040000001</v>
      </c>
      <c r="L20" s="23">
        <f t="shared" si="8"/>
        <v>1074313.7092800001</v>
      </c>
      <c r="M20" s="23">
        <f t="shared" si="8"/>
        <v>1149515.6689296002</v>
      </c>
      <c r="N20" s="23">
        <f t="shared" si="8"/>
        <v>1229981.7657546722</v>
      </c>
      <c r="O20" s="23">
        <f t="shared" si="8"/>
        <v>1316080.4893574994</v>
      </c>
      <c r="P20" s="23">
        <f t="shared" si="8"/>
        <v>1408206.1236125242</v>
      </c>
      <c r="Q20" s="23">
        <f t="shared" si="8"/>
        <v>1506780.5522654012</v>
      </c>
      <c r="R20" s="23">
        <f t="shared" si="8"/>
        <v>1612255.1909239795</v>
      </c>
    </row>
    <row r="21" spans="1:18" s="74" customFormat="1" x14ac:dyDescent="0.25">
      <c r="A21" s="1"/>
      <c r="B21" s="1" t="s">
        <v>43</v>
      </c>
      <c r="C21" s="13">
        <v>6809</v>
      </c>
      <c r="D21" s="13">
        <v>18352</v>
      </c>
      <c r="E21" s="13">
        <v>22417</v>
      </c>
      <c r="F21" s="13">
        <v>89409</v>
      </c>
      <c r="G21" s="13">
        <v>59899</v>
      </c>
      <c r="H21" s="13">
        <v>121254</v>
      </c>
      <c r="I21" s="30">
        <f>I24*0.0927</f>
        <v>145168.20000000001</v>
      </c>
      <c r="J21" s="23">
        <f t="shared" ref="J21:R21" si="9">J24*0.0927</f>
        <v>155329.97400000002</v>
      </c>
      <c r="K21" s="23">
        <f t="shared" si="9"/>
        <v>166203.07217999999</v>
      </c>
      <c r="L21" s="23">
        <f t="shared" si="9"/>
        <v>177837.28723260001</v>
      </c>
      <c r="M21" s="23">
        <f t="shared" si="9"/>
        <v>190285.89733888203</v>
      </c>
      <c r="N21" s="23">
        <f t="shared" si="9"/>
        <v>203605.91015260378</v>
      </c>
      <c r="O21" s="23">
        <f t="shared" si="9"/>
        <v>217858.32386328606</v>
      </c>
      <c r="P21" s="23">
        <f t="shared" si="9"/>
        <v>233108.40653371607</v>
      </c>
      <c r="Q21" s="23">
        <f t="shared" si="9"/>
        <v>249425.99499107621</v>
      </c>
      <c r="R21" s="23">
        <f t="shared" si="9"/>
        <v>266885.81464045163</v>
      </c>
    </row>
    <row r="22" spans="1:18" s="74" customFormat="1" x14ac:dyDescent="0.25">
      <c r="A22" s="1"/>
      <c r="B22" s="1" t="s">
        <v>13</v>
      </c>
      <c r="C22" s="13">
        <v>-10041</v>
      </c>
      <c r="D22" s="13">
        <v>-3783</v>
      </c>
      <c r="E22" s="13">
        <v>-2562</v>
      </c>
      <c r="F22" s="13">
        <v>13998</v>
      </c>
      <c r="G22" s="13">
        <v>-10370</v>
      </c>
      <c r="H22" s="13">
        <v>11233</v>
      </c>
      <c r="I22" s="57">
        <f>AVERAGE(C22:H22)</f>
        <v>-254.16666666666666</v>
      </c>
      <c r="J22" s="13">
        <f>AVERAGE(D22:I22)</f>
        <v>1376.9722222222224</v>
      </c>
      <c r="K22" s="13">
        <f t="shared" ref="K22:R22" si="10">AVERAGE(E22:J22)</f>
        <v>2236.9675925925926</v>
      </c>
      <c r="L22" s="13">
        <f t="shared" si="10"/>
        <v>3036.7955246913584</v>
      </c>
      <c r="M22" s="13">
        <f t="shared" si="10"/>
        <v>1209.9281121399179</v>
      </c>
      <c r="N22" s="13">
        <f t="shared" si="10"/>
        <v>3139.9161308299044</v>
      </c>
      <c r="O22" s="13">
        <f t="shared" si="10"/>
        <v>1791.0688193015549</v>
      </c>
      <c r="P22" s="13">
        <f t="shared" si="10"/>
        <v>2131.9414002962585</v>
      </c>
      <c r="Q22" s="13">
        <f t="shared" si="10"/>
        <v>2257.769596641931</v>
      </c>
      <c r="R22" s="13">
        <f t="shared" si="10"/>
        <v>2261.2365973168207</v>
      </c>
    </row>
    <row r="23" spans="1:18" s="74" customFormat="1" x14ac:dyDescent="0.25">
      <c r="A23" s="1"/>
      <c r="B23" s="1"/>
      <c r="C23" s="1"/>
      <c r="D23" s="1"/>
      <c r="E23" s="1"/>
      <c r="F23" s="1"/>
      <c r="G23" s="1"/>
      <c r="H23" s="1"/>
      <c r="I23" s="14"/>
      <c r="J23" s="1"/>
      <c r="K23" s="1"/>
      <c r="L23" s="1"/>
      <c r="M23" s="1"/>
      <c r="N23" s="1"/>
      <c r="O23" s="1"/>
      <c r="P23" s="1"/>
      <c r="Q23" s="1"/>
      <c r="R23" s="2"/>
    </row>
    <row r="24" spans="1:18" s="74" customFormat="1" x14ac:dyDescent="0.25">
      <c r="A24" s="1"/>
      <c r="B24" s="1" t="s">
        <v>14</v>
      </c>
      <c r="C24" s="13">
        <f t="shared" ref="C24:H24" si="11">SUM(C19:C22)</f>
        <v>269574</v>
      </c>
      <c r="D24" s="13">
        <f t="shared" si="11"/>
        <v>340009</v>
      </c>
      <c r="E24" s="13">
        <f t="shared" si="11"/>
        <v>392536</v>
      </c>
      <c r="F24" s="13">
        <f t="shared" si="11"/>
        <v>855109</v>
      </c>
      <c r="G24" s="13">
        <f t="shared" si="11"/>
        <v>824869</v>
      </c>
      <c r="H24" s="13">
        <f t="shared" si="11"/>
        <v>983689</v>
      </c>
      <c r="I24" s="26">
        <f>I11*I25</f>
        <v>1566000</v>
      </c>
      <c r="J24" s="27">
        <f t="shared" ref="J24:R24" si="12">J11*J25</f>
        <v>1675620</v>
      </c>
      <c r="K24" s="27">
        <f t="shared" si="12"/>
        <v>1792913.4</v>
      </c>
      <c r="L24" s="27">
        <f t="shared" si="12"/>
        <v>1918417.338</v>
      </c>
      <c r="M24" s="27">
        <f t="shared" si="12"/>
        <v>2052706.5516600001</v>
      </c>
      <c r="N24" s="27">
        <f t="shared" si="12"/>
        <v>2196396.0102762002</v>
      </c>
      <c r="O24" s="27">
        <f t="shared" si="12"/>
        <v>2350143.7309955345</v>
      </c>
      <c r="P24" s="27">
        <f t="shared" si="12"/>
        <v>2514653.7921652216</v>
      </c>
      <c r="Q24" s="27">
        <f t="shared" si="12"/>
        <v>2690679.5576167875</v>
      </c>
      <c r="R24" s="27">
        <f t="shared" si="12"/>
        <v>2879027.1266499632</v>
      </c>
    </row>
    <row r="25" spans="1:18" s="74" customFormat="1" x14ac:dyDescent="0.25">
      <c r="A25" s="1"/>
      <c r="B25" s="1" t="s">
        <v>15</v>
      </c>
      <c r="C25" s="16">
        <f t="shared" ref="C25:H25" si="13">C24/C11</f>
        <v>0.27732638167329532</v>
      </c>
      <c r="D25" s="16">
        <f t="shared" si="13"/>
        <v>0.29341625862750409</v>
      </c>
      <c r="E25" s="16">
        <f t="shared" si="13"/>
        <v>0.28810066231387099</v>
      </c>
      <c r="F25" s="16">
        <f t="shared" si="13"/>
        <v>0.35927877781797268</v>
      </c>
      <c r="G25" s="16">
        <f t="shared" si="13"/>
        <v>0.26558208256503529</v>
      </c>
      <c r="H25" s="16">
        <f t="shared" si="13"/>
        <v>0.29659417912715852</v>
      </c>
      <c r="I25" s="28">
        <v>0.28999999999999998</v>
      </c>
      <c r="J25" s="80">
        <v>0.28999999999999998</v>
      </c>
      <c r="K25" s="80">
        <v>0.28999999999999998</v>
      </c>
      <c r="L25" s="80">
        <v>0.28999999999999998</v>
      </c>
      <c r="M25" s="80">
        <v>0.28999999999999998</v>
      </c>
      <c r="N25" s="80">
        <v>0.28999999999999998</v>
      </c>
      <c r="O25" s="80">
        <v>0.28999999999999998</v>
      </c>
      <c r="P25" s="80">
        <v>0.28999999999999998</v>
      </c>
      <c r="Q25" s="80">
        <v>0.28999999999999998</v>
      </c>
      <c r="R25" s="80">
        <v>0.28999999999999998</v>
      </c>
    </row>
    <row r="26" spans="1:18" s="74" customFormat="1" x14ac:dyDescent="0.25">
      <c r="A26" s="1"/>
      <c r="B26" s="1"/>
      <c r="C26" s="16"/>
      <c r="D26" s="16"/>
      <c r="E26" s="16"/>
      <c r="F26" s="16"/>
      <c r="G26" s="16"/>
      <c r="H26" s="16"/>
      <c r="I26" s="29"/>
      <c r="J26" s="16"/>
      <c r="K26" s="16"/>
      <c r="L26" s="16"/>
      <c r="M26" s="16"/>
      <c r="N26" s="16"/>
      <c r="O26" s="16"/>
      <c r="P26" s="16"/>
      <c r="Q26" s="16"/>
      <c r="R26" s="16"/>
    </row>
    <row r="27" spans="1:18" s="74" customFormat="1" x14ac:dyDescent="0.25">
      <c r="A27" s="1"/>
      <c r="B27" s="1" t="s">
        <v>16</v>
      </c>
      <c r="C27" s="13">
        <f t="shared" ref="C27:I27" si="14">C16-C19-C20</f>
        <v>115556</v>
      </c>
      <c r="D27" s="13">
        <f t="shared" si="14"/>
        <v>136763</v>
      </c>
      <c r="E27" s="13">
        <f t="shared" si="14"/>
        <v>148668</v>
      </c>
      <c r="F27" s="13">
        <f t="shared" si="14"/>
        <v>39479</v>
      </c>
      <c r="G27" s="13">
        <f t="shared" si="14"/>
        <v>402119</v>
      </c>
      <c r="H27" s="13">
        <f t="shared" si="14"/>
        <v>414294</v>
      </c>
      <c r="I27" s="57">
        <f t="shared" si="14"/>
        <v>696167.99999999988</v>
      </c>
      <c r="J27" s="13">
        <f t="shared" ref="J27:R27" si="15">J16-J19-J20</f>
        <v>744899.75999999989</v>
      </c>
      <c r="K27" s="13">
        <f>K16-K19-K20</f>
        <v>797042.74320000003</v>
      </c>
      <c r="L27" s="13">
        <f t="shared" si="15"/>
        <v>852835.73522400018</v>
      </c>
      <c r="M27" s="13">
        <f t="shared" si="15"/>
        <v>912534.23668968026</v>
      </c>
      <c r="N27" s="13">
        <f t="shared" si="15"/>
        <v>976411.63325795764</v>
      </c>
      <c r="O27" s="13">
        <f t="shared" si="15"/>
        <v>1044760.4475860149</v>
      </c>
      <c r="P27" s="13">
        <f t="shared" si="15"/>
        <v>1117893.6789170362</v>
      </c>
      <c r="Q27" s="13">
        <f t="shared" si="15"/>
        <v>1196146.2364412288</v>
      </c>
      <c r="R27" s="13">
        <f t="shared" si="15"/>
        <v>1279876.4729921147</v>
      </c>
    </row>
    <row r="28" spans="1:18" s="74" customFormat="1" x14ac:dyDescent="0.25">
      <c r="A28" s="1"/>
      <c r="B28" s="1"/>
      <c r="C28" s="32"/>
      <c r="D28" s="32"/>
      <c r="E28" s="32"/>
      <c r="F28" s="32"/>
      <c r="G28" s="32"/>
      <c r="H28" s="32"/>
      <c r="I28" s="33"/>
      <c r="J28" s="2"/>
      <c r="K28" s="2"/>
      <c r="L28" s="2"/>
      <c r="M28" s="2"/>
      <c r="N28" s="2"/>
      <c r="O28" s="2"/>
      <c r="P28" s="2"/>
      <c r="Q28" s="2"/>
      <c r="R28" s="2"/>
    </row>
    <row r="29" spans="1:18" s="74" customFormat="1" x14ac:dyDescent="0.25">
      <c r="A29" s="1"/>
      <c r="B29" s="1" t="s">
        <v>17</v>
      </c>
      <c r="C29" s="13">
        <f t="shared" ref="C29:I29" si="16">C27-C21-C22</f>
        <v>118788</v>
      </c>
      <c r="D29" s="13">
        <f t="shared" si="16"/>
        <v>122194</v>
      </c>
      <c r="E29" s="13">
        <f t="shared" si="16"/>
        <v>128813</v>
      </c>
      <c r="F29" s="13">
        <f t="shared" si="16"/>
        <v>-63928</v>
      </c>
      <c r="G29" s="13">
        <f t="shared" si="16"/>
        <v>352590</v>
      </c>
      <c r="H29" s="13">
        <f t="shared" si="16"/>
        <v>281807</v>
      </c>
      <c r="I29" s="57">
        <f t="shared" si="16"/>
        <v>551253.96666666644</v>
      </c>
      <c r="J29" s="13">
        <f t="shared" ref="J29:R29" si="17">J27-J21-J22</f>
        <v>588192.8137777776</v>
      </c>
      <c r="K29" s="13">
        <f>K27-K21-K22</f>
        <v>628602.70342740742</v>
      </c>
      <c r="L29" s="13">
        <f>L27-L21-L22</f>
        <v>671961.65246670879</v>
      </c>
      <c r="M29" s="13">
        <f t="shared" si="17"/>
        <v>721038.41123865824</v>
      </c>
      <c r="N29" s="13">
        <f t="shared" si="17"/>
        <v>769665.80697452393</v>
      </c>
      <c r="O29" s="13">
        <f t="shared" si="17"/>
        <v>825111.05490342726</v>
      </c>
      <c r="P29" s="13">
        <f t="shared" si="17"/>
        <v>882653.33098302386</v>
      </c>
      <c r="Q29" s="13">
        <f t="shared" si="17"/>
        <v>944462.47185351071</v>
      </c>
      <c r="R29" s="13">
        <f t="shared" si="17"/>
        <v>1010729.4217543462</v>
      </c>
    </row>
    <row r="30" spans="1:18" s="74" customFormat="1" x14ac:dyDescent="0.25">
      <c r="A30" s="1"/>
      <c r="B30" s="1"/>
      <c r="C30" s="32"/>
      <c r="D30" s="32"/>
      <c r="E30" s="32"/>
      <c r="F30" s="32"/>
      <c r="G30" s="32"/>
      <c r="H30" s="32"/>
      <c r="I30" s="18"/>
      <c r="J30" s="1"/>
      <c r="K30" s="1"/>
      <c r="L30" s="1"/>
      <c r="M30" s="1"/>
      <c r="N30" s="1"/>
      <c r="O30" s="1"/>
      <c r="P30" s="1"/>
      <c r="Q30" s="1"/>
      <c r="R30" s="2"/>
    </row>
    <row r="31" spans="1:18" s="74" customFormat="1" x14ac:dyDescent="0.25">
      <c r="A31" s="1"/>
      <c r="B31" s="1" t="s">
        <v>18</v>
      </c>
      <c r="C31" s="13">
        <f t="shared" ref="C31:H31" si="18">C27</f>
        <v>115556</v>
      </c>
      <c r="D31" s="13">
        <f t="shared" si="18"/>
        <v>136763</v>
      </c>
      <c r="E31" s="13">
        <f t="shared" si="18"/>
        <v>148668</v>
      </c>
      <c r="F31" s="13">
        <f t="shared" si="18"/>
        <v>39479</v>
      </c>
      <c r="G31" s="13">
        <f t="shared" si="18"/>
        <v>402119</v>
      </c>
      <c r="H31" s="13">
        <f t="shared" si="18"/>
        <v>414294</v>
      </c>
      <c r="I31" s="14">
        <f t="shared" ref="I31:R31" si="19">I32*I11</f>
        <v>648000</v>
      </c>
      <c r="J31" s="1">
        <f t="shared" si="19"/>
        <v>710694</v>
      </c>
      <c r="K31" s="1">
        <f t="shared" si="19"/>
        <v>772807.5</v>
      </c>
      <c r="L31" s="1">
        <f t="shared" si="19"/>
        <v>826904.02500000002</v>
      </c>
      <c r="M31" s="1">
        <f t="shared" si="19"/>
        <v>884787.30675000011</v>
      </c>
      <c r="N31" s="1">
        <f t="shared" si="19"/>
        <v>946722.41822250013</v>
      </c>
      <c r="O31" s="1">
        <f t="shared" si="19"/>
        <v>1012992.9874980752</v>
      </c>
      <c r="P31" s="1">
        <f t="shared" si="19"/>
        <v>1083902.4966229405</v>
      </c>
      <c r="Q31" s="1">
        <f t="shared" si="19"/>
        <v>1159775.6713865465</v>
      </c>
      <c r="R31" s="1">
        <f t="shared" si="19"/>
        <v>1240959.9683836049</v>
      </c>
    </row>
    <row r="32" spans="1:18" s="74" customFormat="1" x14ac:dyDescent="0.25">
      <c r="A32" s="1"/>
      <c r="B32" s="15" t="s">
        <v>19</v>
      </c>
      <c r="C32" s="16">
        <f t="shared" ref="C32:H32" si="20">C31/C11</f>
        <v>0.11887914769465642</v>
      </c>
      <c r="D32" s="16">
        <f t="shared" si="20"/>
        <v>0.11802183994739358</v>
      </c>
      <c r="E32" s="16">
        <f t="shared" si="20"/>
        <v>0.10911444877636338</v>
      </c>
      <c r="F32" s="16">
        <f t="shared" si="20"/>
        <v>1.6587320294226517E-2</v>
      </c>
      <c r="G32" s="16">
        <f t="shared" si="20"/>
        <v>0.12946977212014202</v>
      </c>
      <c r="H32" s="16">
        <f t="shared" si="20"/>
        <v>0.12491467206333202</v>
      </c>
      <c r="I32" s="58">
        <v>0.12</v>
      </c>
      <c r="J32" s="56">
        <v>0.123</v>
      </c>
      <c r="K32" s="56">
        <v>0.125</v>
      </c>
      <c r="L32" s="56">
        <v>0.125</v>
      </c>
      <c r="M32" s="56">
        <v>0.125</v>
      </c>
      <c r="N32" s="56">
        <v>0.125</v>
      </c>
      <c r="O32" s="56">
        <v>0.125</v>
      </c>
      <c r="P32" s="56">
        <v>0.125</v>
      </c>
      <c r="Q32" s="56">
        <v>0.125</v>
      </c>
      <c r="R32" s="56">
        <v>0.125</v>
      </c>
    </row>
    <row r="33" spans="1:86" s="74" customFormat="1" x14ac:dyDescent="0.25">
      <c r="A33" s="1"/>
      <c r="B33" s="15"/>
      <c r="C33" s="1"/>
      <c r="D33" s="1"/>
      <c r="E33" s="1"/>
      <c r="F33" s="2"/>
      <c r="G33" s="1"/>
      <c r="H33" s="1"/>
      <c r="I33" s="18"/>
      <c r="J33" s="1"/>
      <c r="K33" s="1"/>
      <c r="L33" s="1"/>
      <c r="M33" s="1"/>
      <c r="N33" s="1"/>
      <c r="O33" s="2"/>
      <c r="P33" s="2"/>
      <c r="Q33" s="2"/>
      <c r="R33" s="2"/>
    </row>
    <row r="34" spans="1:86" s="74" customFormat="1" x14ac:dyDescent="0.25">
      <c r="A34" s="1"/>
      <c r="B34" s="1" t="s">
        <v>20</v>
      </c>
      <c r="C34" s="13">
        <v>23514</v>
      </c>
      <c r="D34" s="13">
        <v>34192</v>
      </c>
      <c r="E34" s="13">
        <v>21296</v>
      </c>
      <c r="F34" s="34">
        <v>3101</v>
      </c>
      <c r="G34" s="13">
        <v>55038</v>
      </c>
      <c r="H34" s="13">
        <v>47048</v>
      </c>
      <c r="I34" s="22">
        <f>I31*I35</f>
        <v>123055.20000000001</v>
      </c>
      <c r="J34" s="23">
        <f t="shared" ref="J34:R34" si="21">J31*J35</f>
        <v>142138.80000000002</v>
      </c>
      <c r="K34" s="23">
        <f t="shared" si="21"/>
        <v>158966.50274999999</v>
      </c>
      <c r="L34" s="23">
        <f t="shared" si="21"/>
        <v>170094.15794249999</v>
      </c>
      <c r="M34" s="23">
        <f t="shared" si="21"/>
        <v>182000.74899847503</v>
      </c>
      <c r="N34" s="23">
        <f t="shared" si="21"/>
        <v>194740.80142836826</v>
      </c>
      <c r="O34" s="23">
        <f t="shared" si="21"/>
        <v>208372.65752835406</v>
      </c>
      <c r="P34" s="23">
        <f t="shared" si="21"/>
        <v>222958.74355533885</v>
      </c>
      <c r="Q34" s="23">
        <f t="shared" si="21"/>
        <v>238565.85560421259</v>
      </c>
      <c r="R34" s="23">
        <f t="shared" si="21"/>
        <v>255265.46549650753</v>
      </c>
    </row>
    <row r="35" spans="1:86" s="74" customFormat="1" x14ac:dyDescent="0.25">
      <c r="A35" s="1"/>
      <c r="B35" s="15" t="s">
        <v>21</v>
      </c>
      <c r="C35" s="31">
        <f t="shared" ref="C35:H35" si="22">C34/C31</f>
        <v>0.20348575582401607</v>
      </c>
      <c r="D35" s="31">
        <f t="shared" si="22"/>
        <v>0.2500091398989493</v>
      </c>
      <c r="E35" s="31">
        <f t="shared" si="22"/>
        <v>0.14324535205962277</v>
      </c>
      <c r="F35" s="31">
        <f t="shared" si="22"/>
        <v>7.8548088857367207E-2</v>
      </c>
      <c r="G35" s="31">
        <f t="shared" si="22"/>
        <v>0.13686993153767915</v>
      </c>
      <c r="H35" s="31">
        <f t="shared" si="22"/>
        <v>0.11356186669370061</v>
      </c>
      <c r="I35" s="24">
        <v>0.18990000000000001</v>
      </c>
      <c r="J35" s="25">
        <v>0.2</v>
      </c>
      <c r="K35" s="25">
        <v>0.20569999999999999</v>
      </c>
      <c r="L35" s="25">
        <v>0.20569999999999999</v>
      </c>
      <c r="M35" s="25">
        <v>0.20569999999999999</v>
      </c>
      <c r="N35" s="25">
        <v>0.20569999999999999</v>
      </c>
      <c r="O35" s="25">
        <v>0.20569999999999999</v>
      </c>
      <c r="P35" s="25">
        <v>0.20569999999999999</v>
      </c>
      <c r="Q35" s="25">
        <v>0.20569999999999999</v>
      </c>
      <c r="R35" s="25">
        <v>0.20569999999999999</v>
      </c>
    </row>
    <row r="36" spans="1:86" s="74" customFormat="1" x14ac:dyDescent="0.25">
      <c r="A36" s="1"/>
      <c r="B36" s="1"/>
      <c r="C36" s="1"/>
      <c r="D36" s="1"/>
      <c r="E36" s="1"/>
      <c r="F36" s="1"/>
      <c r="G36" s="1"/>
      <c r="H36" s="1"/>
      <c r="I36" s="18"/>
      <c r="J36" s="1"/>
      <c r="K36" s="1"/>
      <c r="L36" s="1"/>
      <c r="M36" s="1"/>
      <c r="N36" s="1"/>
      <c r="O36" s="1"/>
      <c r="P36" s="1"/>
      <c r="Q36" s="1"/>
      <c r="R36" s="2"/>
    </row>
    <row r="37" spans="1:86" s="74" customFormat="1" x14ac:dyDescent="0.25">
      <c r="A37" s="1"/>
      <c r="B37" s="10" t="s">
        <v>22</v>
      </c>
      <c r="C37" s="10">
        <v>2017</v>
      </c>
      <c r="D37" s="10">
        <v>2018</v>
      </c>
      <c r="E37" s="10">
        <v>2019</v>
      </c>
      <c r="F37" s="11">
        <v>2020</v>
      </c>
      <c r="G37" s="10">
        <v>2021</v>
      </c>
      <c r="H37" s="10">
        <v>2022</v>
      </c>
      <c r="I37" s="35">
        <v>2023</v>
      </c>
      <c r="J37" s="10">
        <v>2024</v>
      </c>
      <c r="K37" s="10">
        <v>2025</v>
      </c>
      <c r="L37" s="10">
        <v>2026</v>
      </c>
      <c r="M37" s="10">
        <v>2027</v>
      </c>
      <c r="N37" s="10">
        <v>2028</v>
      </c>
      <c r="O37" s="10">
        <v>2029</v>
      </c>
      <c r="P37" s="10">
        <v>2030</v>
      </c>
      <c r="Q37" s="10">
        <v>2031</v>
      </c>
      <c r="R37" s="10">
        <v>2032</v>
      </c>
      <c r="S37" s="10">
        <v>2033</v>
      </c>
      <c r="T37" s="10">
        <v>2034</v>
      </c>
      <c r="U37" s="10">
        <v>2035</v>
      </c>
      <c r="V37" s="10">
        <v>2036</v>
      </c>
      <c r="W37" s="10">
        <v>2037</v>
      </c>
      <c r="X37" s="10">
        <v>2038</v>
      </c>
      <c r="Y37" s="10">
        <v>2039</v>
      </c>
      <c r="Z37" s="10">
        <v>2040</v>
      </c>
      <c r="AA37" s="10">
        <v>2041</v>
      </c>
      <c r="AB37" s="10">
        <v>2042</v>
      </c>
      <c r="AC37" s="10">
        <v>2043</v>
      </c>
      <c r="AD37" s="10">
        <v>2044</v>
      </c>
      <c r="AE37" s="10">
        <v>2045</v>
      </c>
      <c r="AF37" s="10">
        <v>2046</v>
      </c>
      <c r="AG37" s="10">
        <v>2047</v>
      </c>
      <c r="AH37" s="10">
        <v>2048</v>
      </c>
      <c r="AI37" s="10">
        <v>2049</v>
      </c>
      <c r="AJ37" s="10">
        <v>2050</v>
      </c>
      <c r="AK37" s="10">
        <v>2051</v>
      </c>
      <c r="AL37" s="10">
        <v>2052</v>
      </c>
      <c r="AM37" s="10">
        <v>2053</v>
      </c>
      <c r="AN37" s="10">
        <v>2054</v>
      </c>
      <c r="AO37" s="10">
        <v>2055</v>
      </c>
      <c r="AP37" s="10">
        <v>2056</v>
      </c>
      <c r="AQ37" s="10">
        <v>2057</v>
      </c>
      <c r="AR37" s="10">
        <v>2058</v>
      </c>
      <c r="AS37" s="10">
        <v>2059</v>
      </c>
      <c r="AT37" s="10">
        <v>2060</v>
      </c>
      <c r="AU37" s="10">
        <v>2061</v>
      </c>
      <c r="AV37" s="10">
        <v>2062</v>
      </c>
      <c r="AW37" s="10">
        <v>2063</v>
      </c>
      <c r="AX37" s="10">
        <v>2064</v>
      </c>
      <c r="AY37" s="10">
        <v>2065</v>
      </c>
      <c r="AZ37" s="10">
        <v>2066</v>
      </c>
      <c r="BA37" s="10">
        <v>2067</v>
      </c>
      <c r="BB37" s="10">
        <v>2068</v>
      </c>
      <c r="BC37" s="10">
        <v>2069</v>
      </c>
      <c r="BD37" s="10">
        <v>2070</v>
      </c>
      <c r="BE37" s="10">
        <v>2071</v>
      </c>
      <c r="BF37" s="10">
        <v>2072</v>
      </c>
      <c r="BG37" s="10">
        <v>2073</v>
      </c>
      <c r="BH37" s="10">
        <v>2074</v>
      </c>
      <c r="BI37" s="10">
        <v>2075</v>
      </c>
      <c r="BJ37" s="10">
        <v>2076</v>
      </c>
      <c r="BK37" s="10">
        <v>2077</v>
      </c>
      <c r="BL37" s="10">
        <v>2078</v>
      </c>
      <c r="BM37" s="10">
        <v>2079</v>
      </c>
      <c r="BN37" s="10">
        <v>2080</v>
      </c>
      <c r="BO37" s="10">
        <v>2081</v>
      </c>
      <c r="BP37" s="10">
        <v>2082</v>
      </c>
      <c r="BQ37" s="10">
        <v>2083</v>
      </c>
      <c r="BR37" s="10">
        <v>2084</v>
      </c>
      <c r="BS37" s="10">
        <v>2085</v>
      </c>
      <c r="BT37" s="10">
        <v>2086</v>
      </c>
      <c r="BU37" s="10">
        <v>2087</v>
      </c>
      <c r="BV37" s="10">
        <v>2088</v>
      </c>
      <c r="BW37" s="10">
        <v>2089</v>
      </c>
      <c r="BX37" s="10">
        <v>2090</v>
      </c>
      <c r="BY37" s="10">
        <v>2091</v>
      </c>
      <c r="BZ37" s="10">
        <v>2092</v>
      </c>
      <c r="CA37" s="10">
        <v>2093</v>
      </c>
      <c r="CB37" s="10">
        <v>2094</v>
      </c>
      <c r="CC37" s="10">
        <v>2095</v>
      </c>
      <c r="CD37" s="10">
        <v>2096</v>
      </c>
      <c r="CE37" s="10">
        <v>2097</v>
      </c>
      <c r="CF37" s="10">
        <v>2098</v>
      </c>
      <c r="CG37" s="10">
        <v>2099</v>
      </c>
      <c r="CH37" s="10">
        <v>2100</v>
      </c>
    </row>
    <row r="38" spans="1:86" s="74" customFormat="1" x14ac:dyDescent="0.25">
      <c r="A38" s="1"/>
      <c r="B38" s="1" t="s">
        <v>23</v>
      </c>
      <c r="C38" s="13">
        <f>50894+12743</f>
        <v>63637</v>
      </c>
      <c r="D38" s="13">
        <f>66202+14568</f>
        <v>80770</v>
      </c>
      <c r="E38" s="13">
        <f>75745+16620</f>
        <v>92365</v>
      </c>
      <c r="F38" s="34">
        <f>156690+64192</f>
        <v>220882</v>
      </c>
      <c r="G38" s="13">
        <f>187803+82266</f>
        <v>270069</v>
      </c>
      <c r="H38" s="13">
        <f>207132+79647</f>
        <v>286779</v>
      </c>
      <c r="I38" s="14">
        <f t="shared" ref="I38:R38" si="23">I39*I11</f>
        <v>486000</v>
      </c>
      <c r="J38" s="1">
        <f t="shared" si="23"/>
        <v>475451.14508500666</v>
      </c>
      <c r="K38" s="1">
        <f t="shared" si="23"/>
        <v>521700.10561124864</v>
      </c>
      <c r="L38" s="1">
        <f t="shared" si="23"/>
        <v>576513.40358526178</v>
      </c>
      <c r="M38" s="1">
        <f t="shared" si="23"/>
        <v>610197.55992839858</v>
      </c>
      <c r="N38" s="1">
        <f t="shared" si="23"/>
        <v>651968.48165820516</v>
      </c>
      <c r="O38" s="1">
        <f t="shared" si="23"/>
        <v>697086.22757621564</v>
      </c>
      <c r="P38" s="1">
        <f t="shared" si="23"/>
        <v>740127.67449622299</v>
      </c>
      <c r="Q38" s="1">
        <f t="shared" si="23"/>
        <v>796680.9400381248</v>
      </c>
      <c r="R38" s="1">
        <f t="shared" si="23"/>
        <v>854900.6458363618</v>
      </c>
    </row>
    <row r="39" spans="1:86" s="74" customFormat="1" x14ac:dyDescent="0.25">
      <c r="A39" s="1"/>
      <c r="B39" s="15" t="s">
        <v>19</v>
      </c>
      <c r="C39" s="16">
        <f t="shared" ref="C39:H39" si="24">C38/C11</f>
        <v>6.5467066373402077E-2</v>
      </c>
      <c r="D39" s="16">
        <f t="shared" si="24"/>
        <v>6.9701776156935569E-2</v>
      </c>
      <c r="E39" s="16">
        <f t="shared" si="24"/>
        <v>6.7791024707595474E-2</v>
      </c>
      <c r="F39" s="16">
        <f t="shared" si="24"/>
        <v>9.2804794478820174E-2</v>
      </c>
      <c r="G39" s="16">
        <f t="shared" si="24"/>
        <v>8.6953792003647265E-2</v>
      </c>
      <c r="H39" s="16">
        <f t="shared" si="24"/>
        <v>8.646735105903125E-2</v>
      </c>
      <c r="I39" s="29">
        <v>0.09</v>
      </c>
      <c r="J39" s="59">
        <f t="shared" ref="J39:R39" si="25">AVERAGE(D39:I39)</f>
        <v>8.2286456401004959E-2</v>
      </c>
      <c r="K39" s="59">
        <f t="shared" si="25"/>
        <v>8.4383903108349853E-2</v>
      </c>
      <c r="L39" s="59">
        <f t="shared" si="25"/>
        <v>8.7149382841808912E-2</v>
      </c>
      <c r="M39" s="59">
        <f t="shared" si="25"/>
        <v>8.6206814235640375E-2</v>
      </c>
      <c r="N39" s="59">
        <f t="shared" si="25"/>
        <v>8.6082317940972555E-2</v>
      </c>
      <c r="O39" s="59">
        <f t="shared" si="25"/>
        <v>8.6018145754629446E-2</v>
      </c>
      <c r="P39" s="59">
        <f t="shared" si="25"/>
        <v>8.5354503380401014E-2</v>
      </c>
      <c r="Q39" s="59">
        <f t="shared" si="25"/>
        <v>8.5865844543633704E-2</v>
      </c>
      <c r="R39" s="59">
        <f t="shared" si="25"/>
        <v>8.6112834782847661E-2</v>
      </c>
    </row>
    <row r="40" spans="1:86" s="74" customFormat="1" x14ac:dyDescent="0.25">
      <c r="A40" s="1"/>
      <c r="B40" s="1"/>
      <c r="C40" s="1"/>
      <c r="D40" s="1"/>
      <c r="E40" s="1"/>
      <c r="F40" s="2"/>
      <c r="G40" s="1"/>
      <c r="H40" s="1"/>
      <c r="I40" s="18"/>
      <c r="J40" s="1"/>
      <c r="K40" s="1"/>
      <c r="L40" s="1"/>
      <c r="M40" s="1"/>
      <c r="N40" s="1"/>
      <c r="O40" s="2"/>
      <c r="P40" s="2"/>
      <c r="Q40" s="2"/>
      <c r="R40" s="2"/>
    </row>
    <row r="41" spans="1:86" s="74" customFormat="1" x14ac:dyDescent="0.25">
      <c r="A41" s="1"/>
      <c r="B41" s="1" t="s">
        <v>24</v>
      </c>
      <c r="C41" s="13">
        <v>-138517</v>
      </c>
      <c r="D41" s="13">
        <v>-153438</v>
      </c>
      <c r="E41" s="55">
        <v>-137122</v>
      </c>
      <c r="F41" s="34">
        <v>-136877</v>
      </c>
      <c r="G41" s="13">
        <v>-146337</v>
      </c>
      <c r="H41" s="13">
        <v>-314332</v>
      </c>
      <c r="I41" s="14">
        <f t="shared" ref="I41:R41" si="26">I42*I11</f>
        <v>-324000</v>
      </c>
      <c r="J41" s="1">
        <f t="shared" si="26"/>
        <v>-553679.78352782701</v>
      </c>
      <c r="K41" s="1">
        <f t="shared" si="26"/>
        <v>-592437.36837477481</v>
      </c>
      <c r="L41" s="1">
        <f t="shared" si="26"/>
        <v>-633907.98416100908</v>
      </c>
      <c r="M41" s="1">
        <f t="shared" si="26"/>
        <v>-678281.54305227986</v>
      </c>
      <c r="N41" s="1">
        <f t="shared" si="26"/>
        <v>-725761.25106593943</v>
      </c>
      <c r="O41" s="1">
        <f t="shared" si="26"/>
        <v>-776564.53864055523</v>
      </c>
      <c r="P41" s="1">
        <f t="shared" si="26"/>
        <v>-830924.05634539411</v>
      </c>
      <c r="Q41" s="1">
        <f t="shared" si="26"/>
        <v>-889088.74028957181</v>
      </c>
      <c r="R41" s="1">
        <f t="shared" si="26"/>
        <v>-951324.95210984198</v>
      </c>
    </row>
    <row r="42" spans="1:86" s="74" customFormat="1" x14ac:dyDescent="0.25">
      <c r="A42" s="1"/>
      <c r="B42" s="15" t="s">
        <v>19</v>
      </c>
      <c r="C42" s="16">
        <f t="shared" ref="C42:H42" si="27">C41/C11</f>
        <v>-0.14250045779726475</v>
      </c>
      <c r="D42" s="16">
        <f t="shared" si="27"/>
        <v>-0.13241180054435905</v>
      </c>
      <c r="E42" s="16">
        <f t="shared" si="27"/>
        <v>-0.10064029545774814</v>
      </c>
      <c r="F42" s="16">
        <f t="shared" si="27"/>
        <v>-5.7509628914431545E-2</v>
      </c>
      <c r="G42" s="16">
        <f t="shared" si="27"/>
        <v>-4.7115948370371016E-2</v>
      </c>
      <c r="H42" s="16">
        <f t="shared" si="27"/>
        <v>-9.4774915154482761E-2</v>
      </c>
      <c r="I42" s="29">
        <v>-0.06</v>
      </c>
      <c r="J42" s="59">
        <v>-9.5825507706442881E-2</v>
      </c>
      <c r="K42" s="59">
        <v>-9.5825507706442881E-2</v>
      </c>
      <c r="L42" s="59">
        <v>-9.5825507706442881E-2</v>
      </c>
      <c r="M42" s="59">
        <v>-9.5825507706442881E-2</v>
      </c>
      <c r="N42" s="59">
        <v>-9.5825507706442881E-2</v>
      </c>
      <c r="O42" s="59">
        <v>-9.5825507706442881E-2</v>
      </c>
      <c r="P42" s="59">
        <v>-9.5825507706442881E-2</v>
      </c>
      <c r="Q42" s="59">
        <v>-9.5825507706442881E-2</v>
      </c>
      <c r="R42" s="59">
        <v>-9.5825507706442881E-2</v>
      </c>
    </row>
    <row r="43" spans="1:86" s="74" customFormat="1" x14ac:dyDescent="0.25">
      <c r="A43" s="1"/>
      <c r="B43" s="1"/>
      <c r="C43" s="1"/>
      <c r="D43" s="1"/>
      <c r="E43" s="1"/>
      <c r="F43" s="2"/>
      <c r="G43" s="1"/>
      <c r="H43" s="1"/>
      <c r="I43" s="18"/>
      <c r="J43" s="1"/>
      <c r="K43" s="1"/>
      <c r="L43" s="1"/>
      <c r="M43" s="1"/>
      <c r="N43" s="1"/>
      <c r="O43" s="2"/>
      <c r="P43" s="2"/>
      <c r="Q43" s="2"/>
      <c r="R43" s="2"/>
    </row>
    <row r="44" spans="1:86" s="74" customFormat="1" x14ac:dyDescent="0.25">
      <c r="A44" s="1"/>
      <c r="B44" s="1" t="s">
        <v>25</v>
      </c>
      <c r="C44" s="1">
        <v>51780</v>
      </c>
      <c r="D44" s="1">
        <v>33430</v>
      </c>
      <c r="E44" s="1">
        <v>61670</v>
      </c>
      <c r="F44" s="2">
        <v>356790</v>
      </c>
      <c r="G44" s="1">
        <v>76410</v>
      </c>
      <c r="H44" s="1">
        <f>(95.88*1000000)/1000</f>
        <v>95880</v>
      </c>
      <c r="I44" s="18">
        <f t="shared" ref="I44:R44" si="28">I45*I11</f>
        <v>486000</v>
      </c>
      <c r="J44" s="1">
        <f t="shared" si="28"/>
        <v>156006</v>
      </c>
      <c r="K44" s="1">
        <f t="shared" si="28"/>
        <v>154561.5</v>
      </c>
      <c r="L44" s="1">
        <f t="shared" si="28"/>
        <v>198456.96599999999</v>
      </c>
      <c r="M44" s="1">
        <f t="shared" si="28"/>
        <v>212348.95362000001</v>
      </c>
      <c r="N44" s="1">
        <f t="shared" si="28"/>
        <v>227213.38037340002</v>
      </c>
      <c r="O44" s="1">
        <f t="shared" si="28"/>
        <v>243118.31699953804</v>
      </c>
      <c r="P44" s="1">
        <f t="shared" si="28"/>
        <v>260136.59918950571</v>
      </c>
      <c r="Q44" s="1">
        <f t="shared" si="28"/>
        <v>278346.16113277111</v>
      </c>
      <c r="R44" s="1">
        <f t="shared" si="28"/>
        <v>297830.39241206518</v>
      </c>
    </row>
    <row r="45" spans="1:86" s="74" customFormat="1" x14ac:dyDescent="0.25">
      <c r="A45" s="1"/>
      <c r="B45" s="15" t="s">
        <v>19</v>
      </c>
      <c r="C45" s="16">
        <f t="shared" ref="C45:H45" si="29">C44/C11</f>
        <v>5.3269083973392209E-2</v>
      </c>
      <c r="D45" s="16">
        <f t="shared" si="29"/>
        <v>2.8848958486150256E-2</v>
      </c>
      <c r="E45" s="16">
        <f t="shared" si="29"/>
        <v>4.5262518201888299E-2</v>
      </c>
      <c r="F45" s="16">
        <f t="shared" si="29"/>
        <v>0.14990729268160488</v>
      </c>
      <c r="G45" s="16">
        <f t="shared" si="29"/>
        <v>2.4601636052263263E-2</v>
      </c>
      <c r="H45" s="16">
        <f t="shared" si="29"/>
        <v>2.8908984338253209E-2</v>
      </c>
      <c r="I45" s="79">
        <v>0.09</v>
      </c>
      <c r="J45" s="78">
        <v>2.7E-2</v>
      </c>
      <c r="K45" s="78">
        <v>2.5000000000000001E-2</v>
      </c>
      <c r="L45" s="78">
        <v>0.03</v>
      </c>
      <c r="M45" s="78">
        <v>0.03</v>
      </c>
      <c r="N45" s="78">
        <v>0.03</v>
      </c>
      <c r="O45" s="78">
        <v>0.03</v>
      </c>
      <c r="P45" s="78">
        <v>0.03</v>
      </c>
      <c r="Q45" s="78">
        <v>0.03</v>
      </c>
      <c r="R45" s="78">
        <v>0.03</v>
      </c>
    </row>
    <row r="46" spans="1:86" s="74" customFormat="1" x14ac:dyDescent="0.25">
      <c r="A46" s="1"/>
      <c r="B46" s="1"/>
      <c r="C46" s="1"/>
      <c r="D46" s="1"/>
      <c r="E46" s="1"/>
      <c r="F46" s="1"/>
      <c r="G46" s="1"/>
      <c r="H46" s="1"/>
      <c r="I46" s="18"/>
      <c r="J46" s="1"/>
      <c r="K46" s="1"/>
      <c r="L46" s="1"/>
      <c r="M46" s="1"/>
      <c r="N46" s="1"/>
      <c r="O46" s="1"/>
      <c r="P46" s="1"/>
      <c r="Q46" s="1"/>
      <c r="R46" s="2"/>
    </row>
    <row r="47" spans="1:86" s="74" customFormat="1" x14ac:dyDescent="0.25">
      <c r="A47" s="1"/>
      <c r="B47" s="10" t="s">
        <v>26</v>
      </c>
      <c r="C47" s="13">
        <f t="shared" ref="C47:I47" si="30">C31-C34</f>
        <v>92042</v>
      </c>
      <c r="D47" s="13">
        <f t="shared" si="30"/>
        <v>102571</v>
      </c>
      <c r="E47" s="13">
        <f t="shared" si="30"/>
        <v>127372</v>
      </c>
      <c r="F47" s="13">
        <f t="shared" si="30"/>
        <v>36378</v>
      </c>
      <c r="G47" s="13">
        <f t="shared" si="30"/>
        <v>347081</v>
      </c>
      <c r="H47" s="13">
        <f t="shared" si="30"/>
        <v>367246</v>
      </c>
      <c r="I47" s="36">
        <f t="shared" si="30"/>
        <v>524944.80000000005</v>
      </c>
      <c r="J47" s="13">
        <f t="shared" ref="J47:R47" si="31">J31-J34</f>
        <v>568555.19999999995</v>
      </c>
      <c r="K47" s="13">
        <f t="shared" si="31"/>
        <v>613840.99725000001</v>
      </c>
      <c r="L47" s="13">
        <f t="shared" si="31"/>
        <v>656809.86705750006</v>
      </c>
      <c r="M47" s="13">
        <f t="shared" si="31"/>
        <v>702786.55775152508</v>
      </c>
      <c r="N47" s="13">
        <f t="shared" si="31"/>
        <v>751981.61679413193</v>
      </c>
      <c r="O47" s="13">
        <f t="shared" si="31"/>
        <v>804620.32996972115</v>
      </c>
      <c r="P47" s="13">
        <f t="shared" si="31"/>
        <v>860943.7530676017</v>
      </c>
      <c r="Q47" s="13">
        <f t="shared" si="31"/>
        <v>921209.81578233384</v>
      </c>
      <c r="R47" s="13">
        <f t="shared" si="31"/>
        <v>985694.50288709742</v>
      </c>
    </row>
    <row r="48" spans="1:86" s="74" customFormat="1" x14ac:dyDescent="0.25">
      <c r="A48" s="1"/>
      <c r="B48" s="10" t="s">
        <v>27</v>
      </c>
      <c r="C48" s="13">
        <f t="shared" ref="C48:I48" si="32">C29-C34</f>
        <v>95274</v>
      </c>
      <c r="D48" s="13">
        <f t="shared" si="32"/>
        <v>88002</v>
      </c>
      <c r="E48" s="13">
        <f t="shared" si="32"/>
        <v>107517</v>
      </c>
      <c r="F48" s="13">
        <f t="shared" si="32"/>
        <v>-67029</v>
      </c>
      <c r="G48" s="13">
        <f t="shared" si="32"/>
        <v>297552</v>
      </c>
      <c r="H48" s="13">
        <f t="shared" si="32"/>
        <v>234759</v>
      </c>
      <c r="I48" s="57">
        <f t="shared" si="32"/>
        <v>428198.76666666643</v>
      </c>
      <c r="J48" s="13">
        <f t="shared" ref="J48:R48" si="33">J29-J34</f>
        <v>446054.01377777755</v>
      </c>
      <c r="K48" s="13">
        <f>K29-K34</f>
        <v>469636.20067740744</v>
      </c>
      <c r="L48" s="13">
        <f t="shared" si="33"/>
        <v>501867.49452420883</v>
      </c>
      <c r="M48" s="13">
        <f t="shared" si="33"/>
        <v>539037.66224018321</v>
      </c>
      <c r="N48" s="13">
        <f t="shared" si="33"/>
        <v>574925.00554615562</v>
      </c>
      <c r="O48" s="13">
        <f t="shared" si="33"/>
        <v>616738.39737507317</v>
      </c>
      <c r="P48" s="13">
        <f t="shared" si="33"/>
        <v>659694.58742768504</v>
      </c>
      <c r="Q48" s="13">
        <f t="shared" si="33"/>
        <v>705896.61624929809</v>
      </c>
      <c r="R48" s="13">
        <f t="shared" si="33"/>
        <v>755463.95625783876</v>
      </c>
      <c r="S48" s="75">
        <f>R48*(1+$E$6)</f>
        <v>747909.31669526035</v>
      </c>
      <c r="T48" s="75">
        <f t="shared" ref="T48:CE48" si="34">S48*(1+$E$6)</f>
        <v>740430.22352830775</v>
      </c>
      <c r="U48" s="75">
        <f t="shared" si="34"/>
        <v>733025.92129302467</v>
      </c>
      <c r="V48" s="75">
        <f t="shared" si="34"/>
        <v>725695.66208009445</v>
      </c>
      <c r="W48" s="75">
        <f t="shared" si="34"/>
        <v>718438.70545929344</v>
      </c>
      <c r="X48" s="75">
        <f t="shared" si="34"/>
        <v>711254.31840470049</v>
      </c>
      <c r="Y48" s="75">
        <f t="shared" si="34"/>
        <v>704141.77522065351</v>
      </c>
      <c r="Z48" s="75">
        <f t="shared" si="34"/>
        <v>697100.35746844695</v>
      </c>
      <c r="AA48" s="75">
        <f t="shared" si="34"/>
        <v>690129.35389376245</v>
      </c>
      <c r="AB48" s="75">
        <f t="shared" si="34"/>
        <v>683228.06035482488</v>
      </c>
      <c r="AC48" s="75">
        <f t="shared" si="34"/>
        <v>676395.7797512766</v>
      </c>
      <c r="AD48" s="75">
        <f t="shared" si="34"/>
        <v>669631.82195376384</v>
      </c>
      <c r="AE48" s="75">
        <f t="shared" si="34"/>
        <v>662935.50373422622</v>
      </c>
      <c r="AF48" s="75">
        <f t="shared" si="34"/>
        <v>656306.14869688393</v>
      </c>
      <c r="AG48" s="75">
        <f t="shared" si="34"/>
        <v>649743.08720991504</v>
      </c>
      <c r="AH48" s="75">
        <f t="shared" si="34"/>
        <v>643245.65633781592</v>
      </c>
      <c r="AI48" s="75">
        <f t="shared" si="34"/>
        <v>636813.1997744377</v>
      </c>
      <c r="AJ48" s="75">
        <f t="shared" si="34"/>
        <v>630445.06777669326</v>
      </c>
      <c r="AK48" s="75">
        <f t="shared" si="34"/>
        <v>624140.61709892633</v>
      </c>
      <c r="AL48" s="75">
        <f t="shared" si="34"/>
        <v>617899.21092793706</v>
      </c>
      <c r="AM48" s="75">
        <f t="shared" si="34"/>
        <v>611720.21881865768</v>
      </c>
      <c r="AN48" s="75">
        <f t="shared" si="34"/>
        <v>605603.0166304711</v>
      </c>
      <c r="AO48" s="75">
        <f t="shared" si="34"/>
        <v>599546.98646416643</v>
      </c>
      <c r="AP48" s="75">
        <f t="shared" si="34"/>
        <v>593551.51659952477</v>
      </c>
      <c r="AQ48" s="75">
        <f t="shared" si="34"/>
        <v>587616.00143352954</v>
      </c>
      <c r="AR48" s="75">
        <f t="shared" si="34"/>
        <v>581739.84141919424</v>
      </c>
      <c r="AS48" s="75">
        <f t="shared" si="34"/>
        <v>575922.44300500234</v>
      </c>
      <c r="AT48" s="75">
        <f t="shared" si="34"/>
        <v>570163.21857495233</v>
      </c>
      <c r="AU48" s="75">
        <f t="shared" si="34"/>
        <v>564461.58638920286</v>
      </c>
      <c r="AV48" s="75">
        <f t="shared" si="34"/>
        <v>558816.97052531084</v>
      </c>
      <c r="AW48" s="75">
        <f t="shared" si="34"/>
        <v>553228.80082005775</v>
      </c>
      <c r="AX48" s="75">
        <f t="shared" si="34"/>
        <v>547696.51281185716</v>
      </c>
      <c r="AY48" s="75">
        <f t="shared" si="34"/>
        <v>542219.54768373864</v>
      </c>
      <c r="AZ48" s="75">
        <f t="shared" si="34"/>
        <v>536797.3522069013</v>
      </c>
      <c r="BA48" s="75">
        <f t="shared" si="34"/>
        <v>531429.37868483225</v>
      </c>
      <c r="BB48" s="75">
        <f t="shared" si="34"/>
        <v>526115.08489798394</v>
      </c>
      <c r="BC48" s="75">
        <f t="shared" si="34"/>
        <v>520853.93404900411</v>
      </c>
      <c r="BD48" s="75">
        <f t="shared" si="34"/>
        <v>515645.39470851404</v>
      </c>
      <c r="BE48" s="75">
        <f t="shared" si="34"/>
        <v>510488.94076142891</v>
      </c>
      <c r="BF48" s="75">
        <f t="shared" si="34"/>
        <v>505384.0513538146</v>
      </c>
      <c r="BG48" s="75">
        <f t="shared" si="34"/>
        <v>500330.21084027644</v>
      </c>
      <c r="BH48" s="75">
        <f t="shared" si="34"/>
        <v>495326.90873187367</v>
      </c>
      <c r="BI48" s="75">
        <f t="shared" si="34"/>
        <v>490373.63964455493</v>
      </c>
      <c r="BJ48" s="75">
        <f t="shared" si="34"/>
        <v>485469.90324810939</v>
      </c>
      <c r="BK48" s="75">
        <f t="shared" si="34"/>
        <v>480615.20421562827</v>
      </c>
      <c r="BL48" s="75">
        <f t="shared" si="34"/>
        <v>475809.05217347201</v>
      </c>
      <c r="BM48" s="75">
        <f t="shared" si="34"/>
        <v>471050.96165173728</v>
      </c>
      <c r="BN48" s="75">
        <f t="shared" si="34"/>
        <v>466340.45203521987</v>
      </c>
      <c r="BO48" s="75">
        <f t="shared" si="34"/>
        <v>461677.04751486768</v>
      </c>
      <c r="BP48" s="75">
        <f t="shared" si="34"/>
        <v>457060.27703971899</v>
      </c>
      <c r="BQ48" s="75">
        <f t="shared" si="34"/>
        <v>452489.67426932178</v>
      </c>
      <c r="BR48" s="75">
        <f t="shared" si="34"/>
        <v>447964.77752662858</v>
      </c>
      <c r="BS48" s="75">
        <f t="shared" si="34"/>
        <v>443485.12975136231</v>
      </c>
      <c r="BT48" s="75">
        <f t="shared" si="34"/>
        <v>439050.27845384867</v>
      </c>
      <c r="BU48" s="75">
        <f t="shared" si="34"/>
        <v>434659.77566931018</v>
      </c>
      <c r="BV48" s="75">
        <f t="shared" si="34"/>
        <v>430313.1779126171</v>
      </c>
      <c r="BW48" s="75">
        <f t="shared" si="34"/>
        <v>426010.04613349092</v>
      </c>
      <c r="BX48" s="75">
        <f t="shared" si="34"/>
        <v>421749.945672156</v>
      </c>
      <c r="BY48" s="75">
        <f t="shared" si="34"/>
        <v>417532.44621543441</v>
      </c>
      <c r="BZ48" s="75">
        <f t="shared" si="34"/>
        <v>413357.12175328005</v>
      </c>
      <c r="CA48" s="75">
        <f t="shared" si="34"/>
        <v>409223.55053574726</v>
      </c>
      <c r="CB48" s="75">
        <f t="shared" si="34"/>
        <v>405131.31503038976</v>
      </c>
      <c r="CC48" s="75">
        <f t="shared" si="34"/>
        <v>401080.00188008585</v>
      </c>
      <c r="CD48" s="75">
        <f t="shared" si="34"/>
        <v>397069.20186128496</v>
      </c>
      <c r="CE48" s="75">
        <f t="shared" si="34"/>
        <v>393098.50984267209</v>
      </c>
      <c r="CF48" s="75">
        <f t="shared" ref="CF48:CH48" si="35">CE48*(1+$E$6)</f>
        <v>389167.5247442454</v>
      </c>
      <c r="CG48" s="75">
        <f t="shared" si="35"/>
        <v>385275.84949680296</v>
      </c>
      <c r="CH48" s="75">
        <f t="shared" si="35"/>
        <v>381423.09100183489</v>
      </c>
    </row>
    <row r="49" spans="1:18" s="74" customFormat="1" x14ac:dyDescent="0.25">
      <c r="A49" s="1"/>
      <c r="B49" s="6"/>
      <c r="C49" s="13"/>
      <c r="D49" s="13"/>
      <c r="E49" s="13"/>
      <c r="F49" s="13"/>
      <c r="G49" s="13"/>
      <c r="H49" s="13"/>
      <c r="I49" s="18"/>
      <c r="J49" s="1"/>
      <c r="K49" s="1"/>
      <c r="L49" s="1"/>
      <c r="M49" s="1"/>
      <c r="N49" s="1"/>
      <c r="O49" s="1"/>
      <c r="P49" s="1"/>
      <c r="Q49" s="1"/>
      <c r="R49" s="2"/>
    </row>
    <row r="50" spans="1:18" s="74" customFormat="1" x14ac:dyDescent="0.25">
      <c r="A50" s="1"/>
      <c r="B50" s="10" t="s">
        <v>28</v>
      </c>
      <c r="C50" s="37">
        <f t="shared" ref="C50:H50" si="36">C47+C38-C41-C44</f>
        <v>242416</v>
      </c>
      <c r="D50" s="37">
        <f t="shared" si="36"/>
        <v>303349</v>
      </c>
      <c r="E50" s="37">
        <f t="shared" si="36"/>
        <v>295189</v>
      </c>
      <c r="F50" s="37">
        <f t="shared" si="36"/>
        <v>37347</v>
      </c>
      <c r="G50" s="37">
        <f t="shared" si="36"/>
        <v>687077</v>
      </c>
      <c r="H50" s="37">
        <f>H47+H38-H41-H44</f>
        <v>872477</v>
      </c>
      <c r="I50" s="77">
        <f>I47+I38+I41-I44</f>
        <v>200944.80000000005</v>
      </c>
      <c r="J50" s="76">
        <f t="shared" ref="J50:R50" si="37">J47+J38+J41-J44</f>
        <v>334320.56155717967</v>
      </c>
      <c r="K50" s="76">
        <f t="shared" si="37"/>
        <v>388542.23448647384</v>
      </c>
      <c r="L50" s="76">
        <f t="shared" si="37"/>
        <v>400958.32048175274</v>
      </c>
      <c r="M50" s="76">
        <f t="shared" si="37"/>
        <v>422353.62100764387</v>
      </c>
      <c r="N50" s="76">
        <f t="shared" si="37"/>
        <v>450975.4670129976</v>
      </c>
      <c r="O50" s="76">
        <f t="shared" si="37"/>
        <v>482023.70190584339</v>
      </c>
      <c r="P50" s="76">
        <f t="shared" si="37"/>
        <v>510010.7720289249</v>
      </c>
      <c r="Q50" s="76">
        <f t="shared" si="37"/>
        <v>550455.85439811577</v>
      </c>
      <c r="R50" s="76">
        <f t="shared" si="37"/>
        <v>591439.80420155218</v>
      </c>
    </row>
    <row r="51" spans="1:18" s="74" customFormat="1" x14ac:dyDescent="0.25">
      <c r="A51" s="1"/>
      <c r="B51" s="38" t="s">
        <v>29</v>
      </c>
      <c r="C51" s="1"/>
      <c r="D51" s="1"/>
      <c r="E51" s="1"/>
      <c r="F51" s="1"/>
      <c r="G51" s="1"/>
      <c r="H51" s="1"/>
      <c r="I51" s="22">
        <f t="shared" ref="I51:R51" si="38">I50/((1+$E$5)^I9)</f>
        <v>180886.58275503165</v>
      </c>
      <c r="J51" s="23">
        <f t="shared" si="38"/>
        <v>270908.26319618092</v>
      </c>
      <c r="K51" s="23">
        <f t="shared" si="38"/>
        <v>283417.70699773164</v>
      </c>
      <c r="L51" s="23">
        <f t="shared" si="38"/>
        <v>263279.81186177424</v>
      </c>
      <c r="M51" s="23">
        <f t="shared" si="38"/>
        <v>249645.72466110744</v>
      </c>
      <c r="N51" s="23">
        <f t="shared" si="38"/>
        <v>239955.33498263301</v>
      </c>
      <c r="O51" s="23">
        <f t="shared" si="38"/>
        <v>230874.23483515554</v>
      </c>
      <c r="P51" s="23">
        <f t="shared" si="38"/>
        <v>219895.33019373188</v>
      </c>
      <c r="Q51" s="23">
        <f t="shared" si="38"/>
        <v>213643.03298048256</v>
      </c>
      <c r="R51" s="23">
        <f t="shared" si="38"/>
        <v>206636.18321251249</v>
      </c>
    </row>
    <row r="52" spans="1:18" s="74" customFormat="1" x14ac:dyDescent="0.25">
      <c r="A52" s="1"/>
      <c r="B52" s="39"/>
      <c r="C52" s="39"/>
      <c r="D52" s="39"/>
      <c r="E52" s="39"/>
      <c r="F52" s="39"/>
      <c r="G52" s="39"/>
      <c r="H52" s="39"/>
      <c r="I52" s="40"/>
      <c r="J52" s="39"/>
      <c r="K52" s="39"/>
      <c r="L52" s="39"/>
      <c r="M52" s="39"/>
      <c r="N52" s="39"/>
      <c r="O52" s="39"/>
      <c r="P52" s="39"/>
      <c r="Q52" s="39"/>
      <c r="R52" s="39"/>
    </row>
    <row r="53" spans="1:18" s="74" customFormat="1" x14ac:dyDescent="0.25">
      <c r="A53" s="1"/>
      <c r="B53" s="1" t="s">
        <v>30</v>
      </c>
      <c r="C53" s="41">
        <f>(R50*(1+$E$6))/($E$5-$E$6)</f>
        <v>4843521.6295289351</v>
      </c>
      <c r="D53" s="1"/>
      <c r="E53" s="1" t="s">
        <v>31</v>
      </c>
      <c r="F53" s="23">
        <f>NPV($E$5,I48:CH48)</f>
        <v>5321952.8027979992</v>
      </c>
      <c r="G53" s="1"/>
      <c r="H53" s="1"/>
      <c r="I53" s="18"/>
      <c r="J53" s="1"/>
      <c r="K53" s="1"/>
      <c r="L53" s="1"/>
      <c r="M53" s="1"/>
      <c r="N53" s="1"/>
      <c r="O53" s="1"/>
      <c r="P53" s="1"/>
      <c r="Q53" s="1"/>
      <c r="R53" s="2"/>
    </row>
    <row r="54" spans="1:18" s="74" customFormat="1" x14ac:dyDescent="0.25">
      <c r="A54" s="1"/>
      <c r="B54" s="3" t="s">
        <v>32</v>
      </c>
      <c r="C54" s="42">
        <f>C53/((1+$E$5)^$R$9)</f>
        <v>1692220.942390339</v>
      </c>
      <c r="D54" s="20"/>
      <c r="E54" s="3"/>
      <c r="F54" s="3"/>
      <c r="G54" s="3"/>
      <c r="H54" s="43"/>
      <c r="I54" s="19"/>
      <c r="J54" s="20"/>
      <c r="K54" s="20"/>
      <c r="L54" s="20"/>
      <c r="M54" s="20"/>
      <c r="N54" s="20"/>
      <c r="O54" s="20"/>
      <c r="P54" s="20"/>
      <c r="Q54" s="20"/>
      <c r="R54" s="44"/>
    </row>
    <row r="55" spans="1:18" x14ac:dyDescent="0.25">
      <c r="A55" s="1"/>
      <c r="B55" s="6" t="s">
        <v>33</v>
      </c>
      <c r="C55" s="6"/>
      <c r="D55" s="1"/>
      <c r="E55" s="6"/>
      <c r="F55" s="6"/>
      <c r="G55" s="45" t="s">
        <v>34</v>
      </c>
      <c r="H55" s="45" t="s">
        <v>31</v>
      </c>
      <c r="I55" s="18"/>
      <c r="J55" s="1"/>
      <c r="K55" s="1"/>
      <c r="L55" s="1"/>
      <c r="M55" s="1"/>
      <c r="N55" s="1"/>
      <c r="O55" s="1"/>
      <c r="P55" s="1"/>
      <c r="Q55" s="1"/>
    </row>
    <row r="56" spans="1:18" x14ac:dyDescent="0.25">
      <c r="A56" s="1"/>
      <c r="B56" s="46" t="s">
        <v>35</v>
      </c>
      <c r="C56" s="1"/>
      <c r="D56" s="34">
        <v>2582371</v>
      </c>
      <c r="E56" s="1"/>
      <c r="F56" s="1"/>
      <c r="G56" s="41">
        <f>C54+SUM(I51:R51)</f>
        <v>4051363.1480666809</v>
      </c>
      <c r="H56" s="23">
        <f>F53</f>
        <v>5321952.8027979992</v>
      </c>
      <c r="I56" s="18"/>
      <c r="J56" s="1"/>
      <c r="K56" s="1"/>
      <c r="L56" s="1"/>
      <c r="M56" s="1"/>
      <c r="N56" s="1"/>
      <c r="O56" s="1"/>
      <c r="P56" s="1"/>
      <c r="Q56" s="1"/>
    </row>
    <row r="57" spans="1:18" x14ac:dyDescent="0.25">
      <c r="A57" s="1"/>
      <c r="B57" s="47" t="s">
        <v>36</v>
      </c>
      <c r="C57" s="3"/>
      <c r="D57" s="60">
        <v>403212</v>
      </c>
      <c r="E57" s="3"/>
      <c r="F57" s="3"/>
      <c r="G57" s="3"/>
      <c r="H57" s="3"/>
      <c r="I57" s="18"/>
      <c r="J57" s="1"/>
      <c r="K57" s="1"/>
      <c r="L57" s="1"/>
      <c r="M57" s="1"/>
      <c r="N57" s="1"/>
      <c r="O57" s="1"/>
      <c r="P57" s="1"/>
      <c r="Q57" s="1"/>
    </row>
    <row r="58" spans="1:18" x14ac:dyDescent="0.25">
      <c r="A58" s="1"/>
      <c r="B58" s="6" t="s">
        <v>37</v>
      </c>
      <c r="C58" s="6"/>
      <c r="D58" s="6"/>
      <c r="E58" s="6"/>
      <c r="F58" s="6"/>
      <c r="G58" s="48">
        <f>G56+D56-D57</f>
        <v>6230522.1480666809</v>
      </c>
      <c r="H58" s="49">
        <f>H56+D56-D57</f>
        <v>7501111.8027979992</v>
      </c>
      <c r="I58" s="18"/>
      <c r="J58" s="1"/>
      <c r="K58" s="1"/>
      <c r="L58" s="1"/>
      <c r="M58" s="1"/>
      <c r="N58" s="1"/>
      <c r="O58" s="1"/>
      <c r="P58" s="1"/>
      <c r="Q58" s="1"/>
    </row>
    <row r="59" spans="1:18" x14ac:dyDescent="0.25">
      <c r="A59" s="1"/>
      <c r="B59" s="3" t="s">
        <v>38</v>
      </c>
      <c r="C59" s="3"/>
      <c r="D59" s="3">
        <f>138962661/1000</f>
        <v>138962.66099999999</v>
      </c>
      <c r="E59" s="3"/>
      <c r="F59" s="3"/>
      <c r="G59" s="3"/>
      <c r="H59" s="50"/>
      <c r="I59" s="18"/>
      <c r="J59" s="1"/>
      <c r="K59" s="1"/>
      <c r="L59" s="1"/>
      <c r="M59" s="1"/>
      <c r="N59" s="1"/>
      <c r="O59" s="1"/>
      <c r="P59" s="1"/>
      <c r="Q59" s="1"/>
    </row>
    <row r="60" spans="1:18" x14ac:dyDescent="0.25">
      <c r="A60" s="1"/>
      <c r="B60" s="21" t="s">
        <v>39</v>
      </c>
      <c r="C60" s="21"/>
      <c r="D60" s="21">
        <f>D59*$J$5</f>
        <v>4735847.4868799997</v>
      </c>
      <c r="E60" s="21"/>
      <c r="F60" s="21"/>
      <c r="G60" s="21"/>
      <c r="H60" s="51"/>
      <c r="I60" s="1"/>
      <c r="J60" s="1"/>
      <c r="K60" s="1"/>
      <c r="L60" s="1"/>
      <c r="M60" s="1"/>
      <c r="N60" s="1"/>
      <c r="O60" s="1"/>
      <c r="P60" s="1"/>
      <c r="Q60" s="1"/>
    </row>
    <row r="61" spans="1:18" x14ac:dyDescent="0.25">
      <c r="A61" s="1"/>
      <c r="B61" s="6" t="s">
        <v>40</v>
      </c>
      <c r="D61" s="6" t="s">
        <v>41</v>
      </c>
      <c r="E61" s="6">
        <f>(G61+H61)/2</f>
        <v>49.407638901160219</v>
      </c>
      <c r="F61" s="6"/>
      <c r="G61" s="52">
        <f>G58/D59</f>
        <v>44.835944441699205</v>
      </c>
      <c r="H61" s="53">
        <f>H58/D59</f>
        <v>53.979333360621233</v>
      </c>
      <c r="I61" s="18"/>
      <c r="J61" s="1"/>
      <c r="K61" s="1"/>
      <c r="L61" s="1"/>
      <c r="M61" s="1"/>
      <c r="N61" s="1"/>
      <c r="O61" s="1"/>
      <c r="P61" s="1"/>
      <c r="Q61" s="1"/>
    </row>
    <row r="62" spans="1:18" x14ac:dyDescent="0.25">
      <c r="B62" s="62"/>
      <c r="C62" s="62"/>
      <c r="D62" s="62"/>
      <c r="E62" s="62"/>
      <c r="F62" s="62"/>
      <c r="G62" s="62"/>
      <c r="H62" s="62"/>
      <c r="I62" s="33"/>
    </row>
  </sheetData>
  <sortState xmlns:xlrd2="http://schemas.microsoft.com/office/spreadsheetml/2017/richdata2" columnSort="1" ref="C10:H51">
    <sortCondition ref="C10:H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50DA-B624-4752-9D51-D896479F0D02}">
  <dimension ref="A1:L15"/>
  <sheetViews>
    <sheetView workbookViewId="0">
      <selection activeCell="G9" sqref="G9"/>
    </sheetView>
  </sheetViews>
  <sheetFormatPr defaultRowHeight="15" x14ac:dyDescent="0.25"/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3.25" x14ac:dyDescent="0.35">
      <c r="A2" s="2"/>
      <c r="B2" s="61" t="s">
        <v>1</v>
      </c>
      <c r="C2" s="2"/>
      <c r="D2" s="2"/>
      <c r="E2" s="2"/>
      <c r="F2" s="2"/>
      <c r="G2" s="2"/>
      <c r="H2" s="2"/>
      <c r="I2" s="2"/>
      <c r="J2" s="2"/>
      <c r="K2" s="2"/>
      <c r="L2" s="62"/>
    </row>
    <row r="3" spans="1:12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2"/>
    </row>
    <row r="4" spans="1:12" x14ac:dyDescent="0.25">
      <c r="A4" s="64" t="s">
        <v>44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 t="s">
        <v>45</v>
      </c>
      <c r="C6" s="2"/>
      <c r="D6" s="65">
        <f>'COHR DCF'!I35</f>
        <v>0.18990000000000001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 t="s">
        <v>46</v>
      </c>
      <c r="C7" s="2"/>
      <c r="D7" s="65">
        <v>5.0999999999999997E-2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 t="s">
        <v>47</v>
      </c>
      <c r="C8" s="2"/>
      <c r="D8" s="66">
        <v>1.51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 t="s">
        <v>48</v>
      </c>
      <c r="C9" s="2"/>
      <c r="D9" s="65">
        <v>4.4999999999999998E-2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37</v>
      </c>
      <c r="B12" s="2"/>
      <c r="C12" s="34">
        <f>'COHR DCF'!D59*'COHR DCF'!J5</f>
        <v>4735847.4868799997</v>
      </c>
      <c r="D12" s="2"/>
      <c r="E12" s="2" t="s">
        <v>36</v>
      </c>
      <c r="F12" s="2"/>
      <c r="G12" s="34">
        <f>'COHR DCF'!D57</f>
        <v>403212</v>
      </c>
      <c r="H12" s="2"/>
      <c r="I12" s="2" t="s">
        <v>49</v>
      </c>
      <c r="J12" s="2"/>
      <c r="K12" s="34">
        <f>G12+C12</f>
        <v>5139059.4868799997</v>
      </c>
      <c r="L12" s="2"/>
    </row>
    <row r="13" spans="1:12" x14ac:dyDescent="0.25">
      <c r="A13" s="2" t="s">
        <v>50</v>
      </c>
      <c r="B13" s="2"/>
      <c r="C13" s="67">
        <f>C12/K12</f>
        <v>0.92153972900500591</v>
      </c>
      <c r="D13" s="2"/>
      <c r="E13" s="2" t="s">
        <v>51</v>
      </c>
      <c r="F13" s="2"/>
      <c r="G13" s="68">
        <f>G12/K12</f>
        <v>7.8460270994994086E-2</v>
      </c>
      <c r="H13" s="2"/>
      <c r="I13" s="2"/>
      <c r="J13" s="2"/>
      <c r="K13" s="2"/>
      <c r="L13" s="2"/>
    </row>
    <row r="14" spans="1:12" x14ac:dyDescent="0.25">
      <c r="A14" s="2" t="s">
        <v>52</v>
      </c>
      <c r="B14" s="2"/>
      <c r="C14" s="69">
        <f>D7+D8*(D9)</f>
        <v>0.11895</v>
      </c>
      <c r="D14" s="2"/>
      <c r="E14" s="2" t="s">
        <v>53</v>
      </c>
      <c r="F14" s="2"/>
      <c r="G14" s="70">
        <v>0.02</v>
      </c>
      <c r="H14" s="2"/>
      <c r="I14" s="71" t="s">
        <v>1</v>
      </c>
      <c r="J14" s="72"/>
      <c r="K14" s="73">
        <f>C13*C14+G14*G13*(1-D6)</f>
        <v>0.11088836407580635</v>
      </c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COHR DCF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2023-05-02T11:48:48Z</dcterms:created>
  <dcterms:modified xsi:type="dcterms:W3CDTF">2023-05-03T08:09:51Z</dcterms:modified>
</cp:coreProperties>
</file>