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69F54630-B7EE-43DE-9607-109EC9221D59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BBWI DCF" sheetId="1" r:id="rId1"/>
    <sheet name="Raw IS" sheetId="3" r:id="rId2"/>
    <sheet name="Raw CF" sheetId="4" r:id="rId3"/>
    <sheet name="WACC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0" i="1" l="1"/>
  <c r="J46" i="1"/>
  <c r="K46" i="1"/>
  <c r="L46" i="1"/>
  <c r="M46" i="1"/>
  <c r="N46" i="1"/>
  <c r="O46" i="1"/>
  <c r="P46" i="1"/>
  <c r="Q46" i="1"/>
  <c r="R46" i="1"/>
  <c r="I46" i="1"/>
  <c r="J43" i="1"/>
  <c r="K43" i="1"/>
  <c r="L43" i="1"/>
  <c r="M43" i="1"/>
  <c r="N43" i="1"/>
  <c r="O43" i="1"/>
  <c r="P43" i="1"/>
  <c r="Q43" i="1"/>
  <c r="R43" i="1"/>
  <c r="I43" i="1"/>
  <c r="J40" i="1"/>
  <c r="K40" i="1"/>
  <c r="L40" i="1"/>
  <c r="M40" i="1"/>
  <c r="N40" i="1"/>
  <c r="O40" i="1"/>
  <c r="P40" i="1"/>
  <c r="Q40" i="1"/>
  <c r="R40" i="1"/>
  <c r="I40" i="1"/>
  <c r="J11" i="1"/>
  <c r="K11" i="1"/>
  <c r="L11" i="1" s="1"/>
  <c r="M11" i="1" s="1"/>
  <c r="N11" i="1" s="1"/>
  <c r="O11" i="1" s="1"/>
  <c r="P11" i="1" s="1"/>
  <c r="Q11" i="1" s="1"/>
  <c r="R11" i="1" s="1"/>
  <c r="I11" i="1"/>
  <c r="C53" i="1"/>
  <c r="C49" i="1"/>
  <c r="G46" i="1"/>
  <c r="H46" i="1"/>
  <c r="F46" i="1"/>
  <c r="D46" i="1"/>
  <c r="E46" i="1"/>
  <c r="C46" i="1"/>
  <c r="G43" i="1"/>
  <c r="H43" i="1"/>
  <c r="F43" i="1"/>
  <c r="D43" i="1"/>
  <c r="E43" i="1"/>
  <c r="C43" i="1"/>
  <c r="G40" i="1"/>
  <c r="H40" i="1"/>
  <c r="F40" i="1"/>
  <c r="D40" i="1"/>
  <c r="E40" i="1"/>
  <c r="C40" i="1"/>
  <c r="G51" i="1"/>
  <c r="H51" i="1"/>
  <c r="F51" i="1"/>
  <c r="G50" i="1"/>
  <c r="H50" i="1"/>
  <c r="F50" i="1"/>
  <c r="G36" i="1"/>
  <c r="H36" i="1"/>
  <c r="F36" i="1"/>
  <c r="D36" i="1"/>
  <c r="E36" i="1"/>
  <c r="C36" i="1"/>
  <c r="G28" i="1"/>
  <c r="H28" i="1"/>
  <c r="F28" i="1"/>
  <c r="D28" i="1"/>
  <c r="E28" i="1"/>
  <c r="C28" i="1"/>
  <c r="D27" i="1"/>
  <c r="E27" i="1"/>
  <c r="F27" i="1"/>
  <c r="G27" i="1"/>
  <c r="H27" i="1"/>
  <c r="C27" i="1"/>
  <c r="D25" i="1"/>
  <c r="E25" i="1"/>
  <c r="F25" i="1"/>
  <c r="G25" i="1"/>
  <c r="H25" i="1"/>
  <c r="C25" i="1"/>
  <c r="D22" i="1"/>
  <c r="E22" i="1"/>
  <c r="C22" i="1"/>
  <c r="G19" i="1"/>
  <c r="H19" i="1"/>
  <c r="F19" i="1"/>
  <c r="D19" i="1"/>
  <c r="E19" i="1"/>
  <c r="C19" i="1"/>
  <c r="D16" i="1"/>
  <c r="E16" i="1"/>
  <c r="E17" i="1" s="1"/>
  <c r="F16" i="1"/>
  <c r="G16" i="1"/>
  <c r="G17" i="1" s="1"/>
  <c r="H16" i="1"/>
  <c r="D17" i="1"/>
  <c r="F17" i="1"/>
  <c r="H17" i="1"/>
  <c r="C16" i="1"/>
  <c r="G14" i="1"/>
  <c r="H14" i="1"/>
  <c r="F14" i="1"/>
  <c r="E14" i="1"/>
  <c r="D14" i="1"/>
  <c r="C14" i="1"/>
  <c r="G11" i="1"/>
  <c r="H11" i="1"/>
  <c r="F11" i="1"/>
  <c r="D11" i="1"/>
  <c r="E11" i="1"/>
  <c r="C11" i="1"/>
  <c r="L60" i="1"/>
  <c r="L59" i="1" s="1"/>
  <c r="L62" i="1"/>
  <c r="L63" i="1" s="1"/>
  <c r="D63" i="1"/>
  <c r="C12" i="2" s="1"/>
  <c r="G12" i="2"/>
  <c r="C14" i="2"/>
  <c r="J9" i="1"/>
  <c r="K9" i="1" s="1"/>
  <c r="L9" i="1" s="1"/>
  <c r="M9" i="1" s="1"/>
  <c r="N9" i="1" s="1"/>
  <c r="O9" i="1" s="1"/>
  <c r="P9" i="1" s="1"/>
  <c r="Q9" i="1" s="1"/>
  <c r="R9" i="1" s="1"/>
  <c r="C33" i="1" l="1"/>
  <c r="D31" i="1"/>
  <c r="D51" i="1" s="1"/>
  <c r="E23" i="1"/>
  <c r="E20" i="1"/>
  <c r="C23" i="1"/>
  <c r="D23" i="1"/>
  <c r="G23" i="1"/>
  <c r="H23" i="1"/>
  <c r="F23" i="1"/>
  <c r="C41" i="1"/>
  <c r="E31" i="1"/>
  <c r="E51" i="1" s="1"/>
  <c r="E41" i="1"/>
  <c r="D47" i="1"/>
  <c r="F12" i="1"/>
  <c r="F20" i="1"/>
  <c r="C29" i="1"/>
  <c r="D29" i="1"/>
  <c r="H29" i="1"/>
  <c r="E29" i="1"/>
  <c r="F29" i="1"/>
  <c r="G29" i="1"/>
  <c r="J28" i="1"/>
  <c r="I28" i="1"/>
  <c r="C47" i="1"/>
  <c r="D41" i="1"/>
  <c r="F44" i="1"/>
  <c r="F47" i="1"/>
  <c r="G44" i="1"/>
  <c r="E47" i="1"/>
  <c r="G47" i="1"/>
  <c r="G41" i="1"/>
  <c r="G12" i="1"/>
  <c r="F41" i="1"/>
  <c r="G20" i="1"/>
  <c r="D20" i="1"/>
  <c r="C20" i="1"/>
  <c r="D12" i="1"/>
  <c r="D44" i="1"/>
  <c r="H12" i="1"/>
  <c r="I16" i="1"/>
  <c r="I14" i="1" s="1"/>
  <c r="C17" i="1"/>
  <c r="H20" i="1"/>
  <c r="H41" i="1"/>
  <c r="C44" i="1"/>
  <c r="H44" i="1"/>
  <c r="H47" i="1"/>
  <c r="E12" i="1"/>
  <c r="E44" i="1"/>
  <c r="K12" i="2"/>
  <c r="G13" i="2" s="1"/>
  <c r="C31" i="1" l="1"/>
  <c r="C51" i="1" s="1"/>
  <c r="F31" i="1"/>
  <c r="G31" i="1"/>
  <c r="G33" i="1"/>
  <c r="G49" i="1" s="1"/>
  <c r="G53" i="1" s="1"/>
  <c r="H31" i="1"/>
  <c r="E33" i="1"/>
  <c r="C13" i="2"/>
  <c r="K14" i="2" s="1"/>
  <c r="E5" i="1" s="1"/>
  <c r="F33" i="1"/>
  <c r="F49" i="1" s="1"/>
  <c r="D33" i="1"/>
  <c r="D49" i="1" s="1"/>
  <c r="H33" i="1"/>
  <c r="G34" i="1" l="1"/>
  <c r="G37" i="1"/>
  <c r="K28" i="1"/>
  <c r="H49" i="1"/>
  <c r="H53" i="1" s="1"/>
  <c r="E49" i="1"/>
  <c r="E53" i="1" s="1"/>
  <c r="E34" i="1"/>
  <c r="E37" i="1"/>
  <c r="H34" i="1"/>
  <c r="F37" i="1"/>
  <c r="F53" i="1"/>
  <c r="D53" i="1"/>
  <c r="D34" i="1"/>
  <c r="D37" i="1"/>
  <c r="F34" i="1"/>
  <c r="H37" i="1"/>
  <c r="L28" i="1" l="1"/>
  <c r="C37" i="1"/>
  <c r="C34" i="1"/>
  <c r="M28" i="1" l="1"/>
  <c r="I19" i="1"/>
  <c r="I25" i="1" s="1"/>
  <c r="I27" i="1" s="1"/>
  <c r="N28" i="1" l="1"/>
  <c r="I31" i="1"/>
  <c r="O28" i="1" l="1"/>
  <c r="I33" i="1"/>
  <c r="P28" i="1" l="1"/>
  <c r="I34" i="1"/>
  <c r="I36" i="1"/>
  <c r="I51" i="1" s="1"/>
  <c r="I49" i="1" l="1"/>
  <c r="I53" i="1" s="1"/>
  <c r="I54" i="1" s="1"/>
  <c r="Q28" i="1"/>
  <c r="J19" i="1"/>
  <c r="J25" i="1" s="1"/>
  <c r="J27" i="1" s="1"/>
  <c r="J16" i="1"/>
  <c r="J14" i="1" s="1"/>
  <c r="R28" i="1" l="1"/>
  <c r="J31" i="1"/>
  <c r="J33" i="1" l="1"/>
  <c r="J36" i="1" s="1"/>
  <c r="J51" i="1" s="1"/>
  <c r="K16" i="1"/>
  <c r="K14" i="1" s="1"/>
  <c r="K19" i="1"/>
  <c r="K25" i="1" s="1"/>
  <c r="K27" i="1" s="1"/>
  <c r="J34" i="1" l="1"/>
  <c r="K31" i="1"/>
  <c r="J49" i="1"/>
  <c r="J53" i="1" s="1"/>
  <c r="J54" i="1" s="1"/>
  <c r="L16" i="1"/>
  <c r="L14" i="1" s="1"/>
  <c r="L19" i="1"/>
  <c r="L25" i="1" s="1"/>
  <c r="L27" i="1" s="1"/>
  <c r="L31" i="1" l="1"/>
  <c r="K33" i="1"/>
  <c r="L33" i="1" l="1"/>
  <c r="L36" i="1" s="1"/>
  <c r="L51" i="1" s="1"/>
  <c r="K36" i="1"/>
  <c r="K51" i="1" s="1"/>
  <c r="K34" i="1"/>
  <c r="M19" i="1"/>
  <c r="M25" i="1" s="1"/>
  <c r="M27" i="1" s="1"/>
  <c r="M16" i="1"/>
  <c r="M14" i="1" s="1"/>
  <c r="L34" i="1" l="1"/>
  <c r="M31" i="1"/>
  <c r="L49" i="1"/>
  <c r="L53" i="1" s="1"/>
  <c r="L54" i="1" s="1"/>
  <c r="K49" i="1"/>
  <c r="K53" i="1" s="1"/>
  <c r="K54" i="1" s="1"/>
  <c r="M33" i="1" l="1"/>
  <c r="M34" i="1" s="1"/>
  <c r="N19" i="1"/>
  <c r="N25" i="1" s="1"/>
  <c r="N27" i="1" s="1"/>
  <c r="N16" i="1"/>
  <c r="N14" i="1" s="1"/>
  <c r="N31" i="1" l="1"/>
  <c r="M36" i="1"/>
  <c r="M51" i="1" s="1"/>
  <c r="M49" i="1" l="1"/>
  <c r="M53" i="1" s="1"/>
  <c r="M54" i="1" s="1"/>
  <c r="N33" i="1"/>
  <c r="N36" i="1" l="1"/>
  <c r="N51" i="1" s="1"/>
  <c r="N34" i="1"/>
  <c r="N49" i="1" l="1"/>
  <c r="N53" i="1" s="1"/>
  <c r="N54" i="1" s="1"/>
  <c r="O19" i="1"/>
  <c r="O25" i="1" s="1"/>
  <c r="O27" i="1" s="1"/>
  <c r="O16" i="1"/>
  <c r="O14" i="1" s="1"/>
  <c r="O31" i="1" l="1"/>
  <c r="O33" i="1" l="1"/>
  <c r="O34" i="1" s="1"/>
  <c r="P19" i="1"/>
  <c r="P25" i="1" s="1"/>
  <c r="P27" i="1" s="1"/>
  <c r="P16" i="1"/>
  <c r="P14" i="1" s="1"/>
  <c r="P31" i="1" l="1"/>
  <c r="O36" i="1"/>
  <c r="O51" i="1" s="1"/>
  <c r="O49" i="1" l="1"/>
  <c r="O53" i="1" s="1"/>
  <c r="O54" i="1" s="1"/>
  <c r="P33" i="1"/>
  <c r="P34" i="1" s="1"/>
  <c r="P36" i="1" l="1"/>
  <c r="P51" i="1" s="1"/>
  <c r="Q16" i="1"/>
  <c r="Q14" i="1" s="1"/>
  <c r="Q19" i="1"/>
  <c r="Q25" i="1" s="1"/>
  <c r="Q27" i="1" s="1"/>
  <c r="P49" i="1" l="1"/>
  <c r="P53" i="1" s="1"/>
  <c r="P54" i="1" s="1"/>
  <c r="Q31" i="1"/>
  <c r="R19" i="1"/>
  <c r="R25" i="1" s="1"/>
  <c r="R27" i="1" s="1"/>
  <c r="Q33" i="1" l="1"/>
  <c r="R16" i="1"/>
  <c r="R14" i="1" s="1"/>
  <c r="R31" i="1" l="1"/>
  <c r="Q34" i="1"/>
  <c r="Q36" i="1"/>
  <c r="Q51" i="1" s="1"/>
  <c r="Q49" i="1" l="1"/>
  <c r="Q53" i="1" s="1"/>
  <c r="Q54" i="1" s="1"/>
  <c r="R33" i="1"/>
  <c r="R34" i="1" s="1"/>
  <c r="R36" i="1" l="1"/>
  <c r="R51" i="1" s="1"/>
  <c r="S51" i="1" l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R49" i="1"/>
  <c r="R53" i="1" s="1"/>
  <c r="C56" i="1" s="1"/>
  <c r="C57" i="1" s="1"/>
  <c r="R54" i="1" l="1"/>
  <c r="G59" i="1" s="1"/>
  <c r="G61" i="1" s="1"/>
  <c r="G64" i="1" s="1"/>
  <c r="F56" i="1"/>
  <c r="H59" i="1" s="1"/>
  <c r="H61" i="1" s="1"/>
  <c r="H64" i="1" s="1"/>
  <c r="E64" i="1" l="1"/>
  <c r="L58" i="1" s="1"/>
  <c r="J6" i="1" l="1"/>
  <c r="N5" i="1" s="1"/>
</calcChain>
</file>

<file path=xl/sharedStrings.xml><?xml version="1.0" encoding="utf-8"?>
<sst xmlns="http://schemas.openxmlformats.org/spreadsheetml/2006/main" count="240" uniqueCount="144">
  <si>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</si>
  <si>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</si>
  <si>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</si>
  <si>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</si>
  <si>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</si>
  <si>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</si>
  <si>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</si>
  <si>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</si>
  <si>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</si>
  <si>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</si>
  <si>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</si>
  <si>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</si>
  <si>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</si>
  <si>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</si>
  <si>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</si>
  <si>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</si>
  <si>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</si>
  <si>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</si>
  <si>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</si>
  <si>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</si>
  <si>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</si>
  <si>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</si>
  <si>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</si>
  <si>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</si>
  <si>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</si>
  <si>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</si>
  <si>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</si>
  <si>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</si>
  <si>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</si>
  <si>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</si>
  <si>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</si>
  <si>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</si>
  <si>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</si>
  <si>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</si>
  <si>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</si>
  <si>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</si>
  <si>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</si>
  <si>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</si>
  <si>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</si>
  <si>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</si>
  <si>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</si>
  <si>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</si>
  <si>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</si>
  <si>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</si>
  <si>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</si>
  <si>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</si>
  <si>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</si>
  <si>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</si>
  <si>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</si>
  <si>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</si>
  <si>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</si>
  <si>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>CONSOLIDATED STATEMENTS OF CASH FLOWS</t>
  </si>
  <si>
    <t>Other income</t>
  </si>
  <si>
    <t>Update: 09/06/2023</t>
  </si>
  <si>
    <t>Terminal Growth Rate</t>
  </si>
  <si>
    <t>2022</t>
  </si>
  <si>
    <t>2021</t>
  </si>
  <si>
    <t>2020</t>
  </si>
  <si>
    <t>—</t>
  </si>
  <si>
    <t>$—</t>
  </si>
  <si>
    <t>2017</t>
  </si>
  <si>
    <t>2018</t>
  </si>
  <si>
    <t>2019</t>
  </si>
  <si>
    <t xml:space="preserve">Other </t>
  </si>
  <si>
    <t>CONSOLIDATED STATEMENTS OF INCOME</t>
  </si>
  <si>
    <t>Net Sales</t>
  </si>
  <si>
    <t>Costs of Goods Sold, Buying and Occupancy</t>
  </si>
  <si>
    <t>General, Administrative and Store Operating Expenses</t>
  </si>
  <si>
    <t>Operating Income</t>
  </si>
  <si>
    <t>Interest Expense</t>
  </si>
  <si>
    <t>Other Income (Loss)</t>
  </si>
  <si>
    <t>Income from Continuing Operations Before Income Taxes</t>
  </si>
  <si>
    <t>Provision for Income Taxes</t>
  </si>
  <si>
    <t>Net Income from Continuing Operations</t>
  </si>
  <si>
    <t>Income (Loss) from Discontinued Operations, Net of Tax</t>
  </si>
  <si>
    <t>Net Income</t>
  </si>
  <si>
    <t>Net Income (Loss) per Basic Share</t>
  </si>
  <si>
    <t>Continuing Operations</t>
  </si>
  <si>
    <t>Discontinued Operations</t>
  </si>
  <si>
    <t>Total Net Income per Basic Share</t>
  </si>
  <si>
    <t>Net Income (Loss) per Diluted Share</t>
  </si>
  <si>
    <t>Total Net Income per Diluted Share</t>
  </si>
  <si>
    <t>Operating Activities</t>
  </si>
  <si>
    <t>Adjustments to Reconcile Net Income to Net Cash Provided by Operating Activities:</t>
  </si>
  <si>
    <t>Depreciation of Long-lived Assets</t>
  </si>
  <si>
    <t>Loss on Extinguishment of Debt</t>
  </si>
  <si>
    <t>Share-based Compensation Expense</t>
  </si>
  <si>
    <t>Deferred Income Taxes</t>
  </si>
  <si>
    <t>Victoria's Secret Asset Impairment Charges</t>
  </si>
  <si>
    <t>Gain from Victoria's Secret Hong Kong Store Closure and Lease Termination</t>
  </si>
  <si>
    <t>Gain Related to Formation of Victoria's Secret U.K. Joint Venture</t>
  </si>
  <si>
    <t>Changes in Assets and Liabilities:</t>
  </si>
  <si>
    <t>Accounts Receivable</t>
  </si>
  <si>
    <t>Inventories</t>
  </si>
  <si>
    <t>Accounts Payable, Accrued Expenses and Other</t>
  </si>
  <si>
    <t>Income Taxes Payable</t>
  </si>
  <si>
    <t>Other Assets and Liabilities</t>
  </si>
  <si>
    <t>Net Cash Provided by Operating Activities</t>
  </si>
  <si>
    <t>Investing Activities</t>
  </si>
  <si>
    <t>Capital Expenditures</t>
  </si>
  <si>
    <t>Other Investing Activities</t>
  </si>
  <si>
    <t>Net Cash Used for Investing Activities</t>
  </si>
  <si>
    <t>Financing Activities</t>
  </si>
  <si>
    <t>Proceeds from Issuance of Long-term Debt, Net of Issuance Costs</t>
  </si>
  <si>
    <t>Payments of Long-term Debt</t>
  </si>
  <si>
    <t>Borrowing from revolving credit agreement</t>
  </si>
  <si>
    <t>Repayment of revolving credit agreement</t>
  </si>
  <si>
    <t>Proceeds from Spin-Off of Victoria's Secret &amp; Co.</t>
  </si>
  <si>
    <t>Transfers and Payments to Victoria's Secret &amp; Co. related to Spin-Off</t>
  </si>
  <si>
    <t>Net Repayments of Victoria's Secret Foreign Facilities</t>
  </si>
  <si>
    <t>Repurchases of Common Stock</t>
  </si>
  <si>
    <t>Dividends Paid</t>
  </si>
  <si>
    <t>Proceeds from Stock Option Exercises</t>
  </si>
  <si>
    <t>Tax Payments related to Share-based Awards</t>
  </si>
  <si>
    <t>Payments of Finance Lease Obligations</t>
  </si>
  <si>
    <t>Other Financing Activities</t>
  </si>
  <si>
    <t>Net Cash Provided by (Used for) Financing Activities</t>
  </si>
  <si>
    <t>Effects of Exchange Rate Changes on Cash and Cash Equivalents</t>
  </si>
  <si>
    <t>Net Increase (Decrease) in Cash and Cash Equivalents</t>
  </si>
  <si>
    <t>Cash and Cash Equivalents, Beginning of Year</t>
  </si>
  <si>
    <t>Cash and Cash Equivalents, End of Year</t>
  </si>
  <si>
    <t>CONSOLIDATED STATEMENTS OF INCOME (LOSS)</t>
  </si>
  <si>
    <t>Impairment of Goodwill</t>
  </si>
  <si>
    <t>Loss on Divestiture of La Senza</t>
  </si>
  <si>
    <t>Income (Loss) Before Income Taxes</t>
  </si>
  <si>
    <t>Net Income (Loss)</t>
  </si>
  <si>
    <t>Net Income (Loss) Per Basic Share</t>
  </si>
  <si>
    <t>Net Income (Loss) Per Diluted Share</t>
  </si>
  <si>
    <t>Adjustments to Reconcile Net Income (Loss) to Net Cash Provided by (Used for) Operating Activities:</t>
  </si>
  <si>
    <t>Amortization of Landlord Allowances</t>
  </si>
  <si>
    <t>Long-lived Store Asset Impairment Charges</t>
  </si>
  <si>
    <t>La Senza Charges</t>
  </si>
  <si>
    <t>Gains on Distributions from Easton Investments</t>
  </si>
  <si>
    <t>Unrealized Losses on Marketable Equity Securities</t>
  </si>
  <si>
    <t>Changes in Assets and Liabilities, Net of Assets and Liabilities related to Divestiture:</t>
  </si>
  <si>
    <t>Borrowings from Secured Revolving Facility</t>
  </si>
  <si>
    <t>Repayments of Secured Revolving Facility</t>
  </si>
  <si>
    <t>Borrowings from Foreign Facilities</t>
  </si>
  <si>
    <t>Repayments of Foreign Facilities</t>
  </si>
  <si>
    <t>Proceeds from Exercise of Stock Options</t>
  </si>
  <si>
    <t>Financing Costs and Other</t>
  </si>
  <si>
    <t>Net Cash Used for Financing Activities</t>
  </si>
  <si>
    <t>Effects of Exchange Rate Changes on Cash</t>
  </si>
  <si>
    <t>Bath &amp; Body Works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</si>
</sst>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6" formatCode="_(\$* #,##0_);_(\$* \(#,##0\);_(\$* \-_);_(@_)"/>
    <numFmt numFmtId="167" formatCode="\(#,##0_);[Red]\(#,##0\)"/>
    <numFmt numFmtId="168" formatCode="&quot;($&quot;#,##0_);[Red]&quot;($&quot;#,##0\)"/>
    <numFmt numFmtId="169" formatCode="_(\$* #,##0.00_);_(\$* \(#,##0.00\);_(\$* \-??_);_(@_)"/>
    <numFmt numFmtId="170" formatCode="&quot;($&quot;#,##0.00_);[Red]&quot;($&quot;#,##0.00\)"/>
    <numFmt numFmtId="171" formatCode="\(#,##0.00_);[Red]\(#,##0.0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3" fontId="3" fillId="0" borderId="3" xfId="0" applyNumberFormat="1" applyFont="1" applyBorder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0" fontId="3" fillId="2" borderId="0" xfId="0" applyNumberFormat="1" applyFont="1" applyFill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7" fillId="11" borderId="0" xfId="0" applyNumberFormat="1" applyFont="1" applyFill="1"/>
    <xf numFmtId="164" fontId="0" fillId="8" borderId="0" xfId="0" applyNumberFormat="1" applyFill="1" applyAlignment="1">
      <alignment horizontal="center"/>
    </xf>
    <xf numFmtId="0" fontId="10" fillId="0" borderId="0" xfId="0" applyFont="1"/>
    <xf numFmtId="167" fontId="0" fillId="0" borderId="0" xfId="0" applyNumberFormat="1"/>
    <xf numFmtId="166" fontId="0" fillId="0" borderId="0" xfId="0" applyNumberFormat="1"/>
    <xf numFmtId="3" fontId="3" fillId="2" borderId="0" xfId="1" applyNumberFormat="1" applyFont="1" applyFill="1"/>
    <xf numFmtId="3" fontId="0" fillId="0" borderId="1" xfId="0" applyNumberFormat="1" applyBorder="1"/>
    <xf numFmtId="164" fontId="3" fillId="2" borderId="3" xfId="0" applyNumberFormat="1" applyFont="1" applyFill="1" applyBorder="1"/>
    <xf numFmtId="0" fontId="3" fillId="9" borderId="0" xfId="0" applyFont="1" applyFill="1" applyAlignment="1">
      <alignment horizontal="center"/>
    </xf>
    <xf numFmtId="0" fontId="10" fillId="0" borderId="0" xfId="0" applyFont="1"/>
    <xf numFmtId="0" fontId="0" fillId="0" borderId="0" xfId="0"/>
    <xf numFmtId="0" fontId="0" fillId="0" borderId="0" xfId="0" applyAlignment="1">
      <alignment horizontal="right"/>
    </xf>
    <xf numFmtId="171" fontId="10" fillId="0" borderId="0" xfId="0" applyNumberFormat="1" applyFont="1" applyAlignment="1"/>
    <xf numFmtId="169" fontId="10" fillId="0" borderId="0" xfId="0" applyNumberFormat="1" applyFont="1" applyAlignment="1"/>
    <xf numFmtId="0" fontId="0" fillId="0" borderId="0" xfId="0" applyAlignment="1"/>
    <xf numFmtId="4" fontId="10" fillId="0" borderId="0" xfId="0" applyNumberFormat="1" applyFont="1" applyAlignment="1"/>
    <xf numFmtId="167" fontId="10" fillId="0" borderId="0" xfId="0" applyNumberFormat="1" applyFont="1" applyAlignment="1"/>
    <xf numFmtId="166" fontId="10" fillId="0" borderId="0" xfId="0" applyNumberFormat="1" applyFont="1" applyAlignment="1"/>
    <xf numFmtId="3" fontId="10" fillId="0" borderId="0" xfId="0" applyNumberFormat="1" applyFont="1" applyAlignment="1"/>
    <xf numFmtId="0" fontId="10" fillId="0" borderId="0" xfId="0" applyFont="1" applyAlignment="1"/>
    <xf numFmtId="170" fontId="0" fillId="0" borderId="0" xfId="0" applyNumberFormat="1" applyAlignment="1"/>
    <xf numFmtId="169" fontId="0" fillId="0" borderId="0" xfId="0" applyNumberFormat="1" applyAlignment="1"/>
    <xf numFmtId="3" fontId="0" fillId="0" borderId="0" xfId="0" applyNumberFormat="1" applyAlignment="1"/>
    <xf numFmtId="168" fontId="0" fillId="0" borderId="0" xfId="0" applyNumberFormat="1" applyAlignment="1"/>
    <xf numFmtId="166" fontId="0" fillId="0" borderId="0" xfId="0" applyNumberFormat="1" applyAlignment="1"/>
    <xf numFmtId="167" fontId="0" fillId="0" borderId="0" xfId="0" applyNumberFormat="1" applyAlignment="1"/>
    <xf numFmtId="168" fontId="10" fillId="0" borderId="0" xfId="0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5"/>
  <sheetViews>
    <sheetView tabSelected="1" zoomScaleNormal="100" workbookViewId="0">
      <selection activeCell="I16" sqref="I16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2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2" customFormat="1" ht="23.25" x14ac:dyDescent="0.35">
      <c r="A2" s="3"/>
      <c r="B2" s="4" t="s">
        <v>143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1"/>
    </row>
    <row r="3" spans="1:18" s="52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2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2" customFormat="1" x14ac:dyDescent="0.25">
      <c r="A5" s="1"/>
      <c r="B5" s="1"/>
      <c r="C5" s="7" t="s">
        <v>1</v>
      </c>
      <c r="D5" s="1"/>
      <c r="E5" s="8">
        <f>WACC!K14</f>
        <v>0.12009932038834951</v>
      </c>
      <c r="F5" s="2"/>
      <c r="G5" s="1"/>
      <c r="H5" s="1" t="s">
        <v>2</v>
      </c>
      <c r="I5" s="1"/>
      <c r="J5" s="7">
        <v>37.5</v>
      </c>
      <c r="K5" s="1"/>
      <c r="L5" s="1" t="s">
        <v>3</v>
      </c>
      <c r="M5" s="1"/>
      <c r="N5" s="7">
        <f>(J6/J5)-1</f>
        <v>0.42407824384228254</v>
      </c>
      <c r="O5" s="1"/>
      <c r="P5" s="1" t="s">
        <v>53</v>
      </c>
      <c r="Q5" s="1"/>
      <c r="R5" s="2"/>
    </row>
    <row r="6" spans="1:18" s="52" customFormat="1" x14ac:dyDescent="0.25">
      <c r="A6" s="1"/>
      <c r="B6" s="1"/>
      <c r="C6" s="7" t="s">
        <v>4</v>
      </c>
      <c r="D6" s="1"/>
      <c r="E6" s="8">
        <v>0.02</v>
      </c>
      <c r="F6" s="2"/>
      <c r="G6" s="1"/>
      <c r="H6" s="1" t="s">
        <v>5</v>
      </c>
      <c r="I6" s="1"/>
      <c r="J6" s="59">
        <f>E64</f>
        <v>53.402934144085592</v>
      </c>
      <c r="K6" s="1"/>
      <c r="L6" s="1"/>
      <c r="M6" s="1"/>
      <c r="N6" s="1"/>
      <c r="O6" s="1"/>
      <c r="P6" s="1"/>
      <c r="Q6" s="1"/>
      <c r="R6" s="2"/>
    </row>
    <row r="7" spans="1:18" s="52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60"/>
      <c r="M7" s="1"/>
      <c r="N7" s="1"/>
      <c r="O7" s="1"/>
      <c r="P7" s="1"/>
      <c r="Q7" s="1"/>
      <c r="R7" s="2"/>
    </row>
    <row r="8" spans="1:18" s="52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2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2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5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</row>
    <row r="11" spans="1:18" s="52" customFormat="1" x14ac:dyDescent="0.25">
      <c r="A11" s="1"/>
      <c r="B11" s="1" t="s">
        <v>7</v>
      </c>
      <c r="C11" s="11">
        <f>'Raw IS'!K6</f>
        <v>12632</v>
      </c>
      <c r="D11" s="11">
        <f>'Raw IS'!L6</f>
        <v>13237</v>
      </c>
      <c r="E11" s="11">
        <f>'Raw IS'!M6</f>
        <v>12914</v>
      </c>
      <c r="F11" s="11">
        <f>'Raw IS'!D5</f>
        <v>6434</v>
      </c>
      <c r="G11" s="11">
        <f>'Raw IS'!E5</f>
        <v>7882</v>
      </c>
      <c r="H11" s="11">
        <f>'Raw IS'!F5</f>
        <v>7560</v>
      </c>
      <c r="I11" s="18">
        <f>H11*(1+I12)</f>
        <v>7470</v>
      </c>
      <c r="J11" s="18">
        <f t="shared" ref="J11:R11" si="1">I11*(1+J12)</f>
        <v>7809.9999999999991</v>
      </c>
      <c r="K11" s="18">
        <f t="shared" si="1"/>
        <v>8310</v>
      </c>
      <c r="L11" s="18">
        <f t="shared" si="1"/>
        <v>8830</v>
      </c>
      <c r="M11" s="18">
        <f t="shared" si="1"/>
        <v>8939.9999999999982</v>
      </c>
      <c r="N11" s="18">
        <f t="shared" si="1"/>
        <v>9379.9999999999982</v>
      </c>
      <c r="O11" s="18">
        <f t="shared" si="1"/>
        <v>9849.9999999999982</v>
      </c>
      <c r="P11" s="18">
        <f t="shared" si="1"/>
        <v>10339.999999999998</v>
      </c>
      <c r="Q11" s="18">
        <f t="shared" si="1"/>
        <v>10849.999999999998</v>
      </c>
      <c r="R11" s="18">
        <f t="shared" si="1"/>
        <v>11390</v>
      </c>
    </row>
    <row r="12" spans="1:18" s="52" customFormat="1" x14ac:dyDescent="0.25">
      <c r="A12" s="1"/>
      <c r="B12" s="74" t="s">
        <v>8</v>
      </c>
      <c r="C12" s="75"/>
      <c r="D12" s="75">
        <f>(D11/C11)-1</f>
        <v>4.7894236858771366E-2</v>
      </c>
      <c r="E12" s="75">
        <f>(E11/D11)-1</f>
        <v>-2.440129938807889E-2</v>
      </c>
      <c r="F12" s="75">
        <f>(F11/E11)-1</f>
        <v>-0.50178101285426668</v>
      </c>
      <c r="G12" s="75">
        <f>(G11/F11)-1</f>
        <v>0.22505439850792675</v>
      </c>
      <c r="H12" s="75">
        <f>(H11/G11)-1</f>
        <v>-4.0852575488454668E-2</v>
      </c>
      <c r="I12" s="75">
        <v>-1.1904761904761862E-2</v>
      </c>
      <c r="J12" s="75">
        <v>4.5515394912985174E-2</v>
      </c>
      <c r="K12" s="75">
        <v>6.402048655569792E-2</v>
      </c>
      <c r="L12" s="75">
        <v>6.2575210589651098E-2</v>
      </c>
      <c r="M12" s="75">
        <v>1.2457531143827749E-2</v>
      </c>
      <c r="N12" s="75">
        <v>4.9217002237136542E-2</v>
      </c>
      <c r="O12" s="75">
        <v>5.0106609808102442E-2</v>
      </c>
      <c r="P12" s="75">
        <v>4.9746192893401098E-2</v>
      </c>
      <c r="Q12" s="75">
        <v>4.9323017408123837E-2</v>
      </c>
      <c r="R12" s="75">
        <v>4.9769585253456317E-2</v>
      </c>
    </row>
    <row r="13" spans="1:18" s="52" customFormat="1" x14ac:dyDescent="0.25">
      <c r="A13" s="1"/>
      <c r="B13" s="6"/>
      <c r="C13" s="1"/>
      <c r="D13" s="1"/>
      <c r="E13" s="1"/>
      <c r="F13" s="1"/>
      <c r="G13" s="1"/>
      <c r="H13" s="1"/>
      <c r="I13" s="87"/>
      <c r="J13" s="70"/>
      <c r="K13" s="70"/>
      <c r="L13" s="70"/>
      <c r="M13" s="70"/>
      <c r="N13" s="70"/>
      <c r="O13" s="70"/>
      <c r="P13" s="70"/>
      <c r="Q13" s="70"/>
      <c r="R13" s="70"/>
    </row>
    <row r="14" spans="1:18" s="52" customFormat="1" x14ac:dyDescent="0.25">
      <c r="A14" s="1"/>
      <c r="B14" s="1" t="s">
        <v>9</v>
      </c>
      <c r="C14" s="11">
        <f>'Raw IS'!K7</f>
        <v>-7673</v>
      </c>
      <c r="D14" s="11">
        <f>'Raw IS'!L7</f>
        <v>-8338</v>
      </c>
      <c r="E14" s="11">
        <f>'Raw IS'!M7</f>
        <v>-8464</v>
      </c>
      <c r="F14" s="11">
        <f>'Raw IS'!D6</f>
        <v>-3338</v>
      </c>
      <c r="G14" s="11">
        <f>'Raw IS'!E6</f>
        <v>-4027</v>
      </c>
      <c r="H14" s="11">
        <f>'Raw IS'!F6</f>
        <v>-4305</v>
      </c>
      <c r="I14" s="71">
        <f>I16-I11</f>
        <v>-4304.2139999999999</v>
      </c>
      <c r="J14" s="71">
        <f t="shared" ref="J14:R14" si="2">J16-J11</f>
        <v>-4430.6129999999994</v>
      </c>
      <c r="K14" s="71">
        <f t="shared" si="2"/>
        <v>-4676.8680000000004</v>
      </c>
      <c r="L14" s="71">
        <f t="shared" si="2"/>
        <v>-5011.0249999999996</v>
      </c>
      <c r="M14" s="71">
        <f t="shared" si="2"/>
        <v>-4916.9999999999991</v>
      </c>
      <c r="N14" s="71">
        <f t="shared" si="2"/>
        <v>-5158.9999999999991</v>
      </c>
      <c r="O14" s="71">
        <f t="shared" si="2"/>
        <v>-5417.4999999999991</v>
      </c>
      <c r="P14" s="71">
        <f t="shared" si="2"/>
        <v>-5686.9999999999991</v>
      </c>
      <c r="Q14" s="71">
        <f t="shared" si="2"/>
        <v>-5967.4999999999991</v>
      </c>
      <c r="R14" s="71">
        <f t="shared" si="2"/>
        <v>-6264.5</v>
      </c>
    </row>
    <row r="15" spans="1:18" s="52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1"/>
      <c r="K15" s="1"/>
      <c r="L15" s="1"/>
      <c r="M15" s="1"/>
      <c r="N15" s="1"/>
      <c r="O15" s="1"/>
      <c r="P15" s="1"/>
      <c r="Q15" s="1"/>
      <c r="R15" s="1"/>
    </row>
    <row r="16" spans="1:18" s="52" customFormat="1" x14ac:dyDescent="0.25">
      <c r="A16" s="1"/>
      <c r="B16" s="1" t="s">
        <v>10</v>
      </c>
      <c r="C16" s="11">
        <f>C11+C14</f>
        <v>4959</v>
      </c>
      <c r="D16" s="11">
        <f t="shared" ref="D16:H16" si="3">D11+D14</f>
        <v>4899</v>
      </c>
      <c r="E16" s="11">
        <f t="shared" si="3"/>
        <v>4450</v>
      </c>
      <c r="F16" s="11">
        <f t="shared" si="3"/>
        <v>3096</v>
      </c>
      <c r="G16" s="11">
        <f t="shared" si="3"/>
        <v>3855</v>
      </c>
      <c r="H16" s="11">
        <f t="shared" si="3"/>
        <v>3255</v>
      </c>
      <c r="I16" s="20">
        <f>I11*I17</f>
        <v>3165.7860000000001</v>
      </c>
      <c r="J16" s="18">
        <f t="shared" ref="J16:R16" si="4">J11*J17</f>
        <v>3379.3869999999993</v>
      </c>
      <c r="K16" s="18">
        <f>K11*K17</f>
        <v>3633.1319999999996</v>
      </c>
      <c r="L16" s="18">
        <f t="shared" si="4"/>
        <v>3818.9749999999999</v>
      </c>
      <c r="M16" s="18">
        <f t="shared" si="4"/>
        <v>4022.9999999999991</v>
      </c>
      <c r="N16" s="18">
        <f t="shared" si="4"/>
        <v>4220.9999999999991</v>
      </c>
      <c r="O16" s="18">
        <f t="shared" si="4"/>
        <v>4432.4999999999991</v>
      </c>
      <c r="P16" s="18">
        <f t="shared" si="4"/>
        <v>4652.9999999999991</v>
      </c>
      <c r="Q16" s="18">
        <f t="shared" si="4"/>
        <v>4882.4999999999991</v>
      </c>
      <c r="R16" s="18">
        <f t="shared" si="4"/>
        <v>5125.5</v>
      </c>
    </row>
    <row r="17" spans="1:18" s="52" customFormat="1" x14ac:dyDescent="0.25">
      <c r="A17" s="1"/>
      <c r="B17" s="74" t="s">
        <v>11</v>
      </c>
      <c r="C17" s="75">
        <f t="shared" ref="C17:H17" si="5">C16/C11</f>
        <v>0.39257441418619382</v>
      </c>
      <c r="D17" s="75">
        <f t="shared" si="5"/>
        <v>0.37009896502228601</v>
      </c>
      <c r="E17" s="75">
        <f t="shared" si="5"/>
        <v>0.34458726962985908</v>
      </c>
      <c r="F17" s="75">
        <f t="shared" si="5"/>
        <v>0.48119365868821884</v>
      </c>
      <c r="G17" s="75">
        <f t="shared" si="5"/>
        <v>0.48908906368941896</v>
      </c>
      <c r="H17" s="75">
        <f t="shared" si="5"/>
        <v>0.43055555555555558</v>
      </c>
      <c r="I17" s="79">
        <v>0.42380000000000001</v>
      </c>
      <c r="J17" s="80">
        <v>0.43269999999999997</v>
      </c>
      <c r="K17" s="80">
        <v>0.43719999999999998</v>
      </c>
      <c r="L17" s="80">
        <v>0.4325</v>
      </c>
      <c r="M17" s="80">
        <v>0.45</v>
      </c>
      <c r="N17" s="80">
        <v>0.45</v>
      </c>
      <c r="O17" s="80">
        <v>0.45</v>
      </c>
      <c r="P17" s="80">
        <v>0.45</v>
      </c>
      <c r="Q17" s="80">
        <v>0.45</v>
      </c>
      <c r="R17" s="80">
        <v>0.45</v>
      </c>
    </row>
    <row r="18" spans="1:18" s="52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18"/>
      <c r="K18" s="18"/>
      <c r="L18" s="18"/>
      <c r="M18" s="18"/>
      <c r="N18" s="18"/>
      <c r="O18" s="18"/>
      <c r="P18" s="18"/>
      <c r="Q18" s="18"/>
      <c r="R18" s="18"/>
    </row>
    <row r="19" spans="1:18" s="52" customFormat="1" x14ac:dyDescent="0.25">
      <c r="A19" s="1"/>
      <c r="B19" s="1" t="s">
        <v>39</v>
      </c>
      <c r="C19" s="11">
        <f>'Raw IS'!K9</f>
        <v>-3231</v>
      </c>
      <c r="D19" s="11">
        <f>'Raw IS'!L9</f>
        <v>-3563</v>
      </c>
      <c r="E19" s="11">
        <f>'Raw IS'!M9</f>
        <v>-3472</v>
      </c>
      <c r="F19" s="11">
        <f>'Raw IS'!D8</f>
        <v>-1492</v>
      </c>
      <c r="G19" s="11">
        <f>'Raw IS'!E8</f>
        <v>-1846</v>
      </c>
      <c r="H19" s="11">
        <f>'Raw IS'!F8</f>
        <v>-1879</v>
      </c>
      <c r="I19" s="20">
        <f t="shared" ref="I19:R19" si="6">I20*I11</f>
        <v>-1852.56</v>
      </c>
      <c r="J19" s="18">
        <f t="shared" si="6"/>
        <v>-1874.3999999999996</v>
      </c>
      <c r="K19" s="18">
        <f t="shared" si="6"/>
        <v>-1973.625</v>
      </c>
      <c r="L19" s="18">
        <f t="shared" si="6"/>
        <v>-1942.6</v>
      </c>
      <c r="M19" s="18">
        <f t="shared" si="6"/>
        <v>-1966.7999999999995</v>
      </c>
      <c r="N19" s="18">
        <f t="shared" si="6"/>
        <v>-2035.4599999999996</v>
      </c>
      <c r="O19" s="18">
        <f t="shared" si="6"/>
        <v>-2068.4999999999995</v>
      </c>
      <c r="P19" s="18">
        <f t="shared" si="6"/>
        <v>-2171.3999999999996</v>
      </c>
      <c r="Q19" s="18">
        <f t="shared" si="6"/>
        <v>-2278.4999999999995</v>
      </c>
      <c r="R19" s="18">
        <f t="shared" si="6"/>
        <v>-2391.9</v>
      </c>
    </row>
    <row r="20" spans="1:18" s="52" customFormat="1" x14ac:dyDescent="0.25">
      <c r="A20" s="1"/>
      <c r="B20" s="74" t="s">
        <v>16</v>
      </c>
      <c r="C20" s="75">
        <f t="shared" ref="C20:H20" si="7">C19/C11</f>
        <v>-0.25577897403419886</v>
      </c>
      <c r="D20" s="75">
        <f t="shared" si="7"/>
        <v>-0.26916975145425703</v>
      </c>
      <c r="E20" s="75">
        <f t="shared" si="7"/>
        <v>-0.26885550565277994</v>
      </c>
      <c r="F20" s="75">
        <f t="shared" si="7"/>
        <v>-0.23189306807584706</v>
      </c>
      <c r="G20" s="75">
        <f t="shared" si="7"/>
        <v>-0.23420451662014716</v>
      </c>
      <c r="H20" s="75">
        <f t="shared" si="7"/>
        <v>-0.24854497354497354</v>
      </c>
      <c r="I20" s="76">
        <v>-0.248</v>
      </c>
      <c r="J20" s="76">
        <v>-0.24</v>
      </c>
      <c r="K20" s="76">
        <v>-0.23749999999999999</v>
      </c>
      <c r="L20" s="76">
        <v>-0.22</v>
      </c>
      <c r="M20" s="76">
        <v>-0.22</v>
      </c>
      <c r="N20" s="76">
        <v>-0.217</v>
      </c>
      <c r="O20" s="76">
        <v>-0.21</v>
      </c>
      <c r="P20" s="76">
        <v>-0.21</v>
      </c>
      <c r="Q20" s="76">
        <v>-0.21</v>
      </c>
      <c r="R20" s="76">
        <v>-0.21</v>
      </c>
    </row>
    <row r="21" spans="1:18" s="52" customFormat="1" x14ac:dyDescent="0.25">
      <c r="A21" s="1"/>
      <c r="B21" s="74"/>
      <c r="C21" s="75"/>
      <c r="D21" s="75"/>
      <c r="E21" s="75"/>
      <c r="F21" s="75"/>
      <c r="G21" s="75"/>
      <c r="H21" s="75"/>
      <c r="I21" s="76"/>
      <c r="J21" s="77"/>
      <c r="K21" s="77"/>
      <c r="L21" s="77"/>
      <c r="M21" s="77"/>
      <c r="N21" s="77"/>
      <c r="O21" s="77"/>
      <c r="P21" s="77"/>
      <c r="Q21" s="77"/>
      <c r="R21" s="77"/>
    </row>
    <row r="22" spans="1:18" s="52" customFormat="1" x14ac:dyDescent="0.25">
      <c r="A22" s="1"/>
      <c r="B22" s="1" t="s">
        <v>63</v>
      </c>
      <c r="C22" s="11">
        <f>SUM('Raw IS'!K10:K11)</f>
        <v>0</v>
      </c>
      <c r="D22" s="11">
        <f>SUM('Raw IS'!L10:L11)</f>
        <v>-99</v>
      </c>
      <c r="E22" s="11">
        <f>SUM('Raw IS'!M10:M11)</f>
        <v>-720</v>
      </c>
      <c r="F22" s="11"/>
      <c r="G22" s="11"/>
      <c r="H22" s="11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 s="52" customFormat="1" x14ac:dyDescent="0.25">
      <c r="A23" s="1"/>
      <c r="B23" s="13" t="s">
        <v>16</v>
      </c>
      <c r="C23" s="14">
        <f>C22/C11</f>
        <v>0</v>
      </c>
      <c r="D23" s="14">
        <f t="shared" ref="D23:R23" si="8">D22/D11</f>
        <v>-7.4790360353554431E-3</v>
      </c>
      <c r="E23" s="14">
        <f t="shared" si="8"/>
        <v>-5.5753445872696296E-2</v>
      </c>
      <c r="F23" s="14">
        <f t="shared" si="8"/>
        <v>0</v>
      </c>
      <c r="G23" s="14">
        <f t="shared" si="8"/>
        <v>0</v>
      </c>
      <c r="H23" s="14">
        <f t="shared" si="8"/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</row>
    <row r="24" spans="1:18" s="52" customFormat="1" x14ac:dyDescent="0.25">
      <c r="A24" s="1"/>
      <c r="B24" s="1"/>
      <c r="C24" s="11"/>
      <c r="D24" s="11"/>
      <c r="E24" s="11"/>
      <c r="F24" s="11"/>
      <c r="G24" s="11"/>
      <c r="H24" s="11"/>
      <c r="I24" s="39"/>
      <c r="J24" s="11"/>
      <c r="K24" s="11"/>
      <c r="L24" s="11"/>
      <c r="M24" s="11"/>
      <c r="N24" s="11"/>
      <c r="O24" s="11"/>
      <c r="P24" s="11"/>
      <c r="Q24" s="11"/>
      <c r="R24" s="11"/>
    </row>
    <row r="25" spans="1:18" s="52" customFormat="1" x14ac:dyDescent="0.25">
      <c r="A25" s="1"/>
      <c r="B25" s="1" t="s">
        <v>12</v>
      </c>
      <c r="C25" s="11">
        <f>C19+C22</f>
        <v>-3231</v>
      </c>
      <c r="D25" s="11">
        <f t="shared" ref="D25:H25" si="9">D19+D22</f>
        <v>-3662</v>
      </c>
      <c r="E25" s="11">
        <f t="shared" si="9"/>
        <v>-4192</v>
      </c>
      <c r="F25" s="11">
        <f t="shared" si="9"/>
        <v>-1492</v>
      </c>
      <c r="G25" s="11">
        <f t="shared" si="9"/>
        <v>-1846</v>
      </c>
      <c r="H25" s="11">
        <f t="shared" si="9"/>
        <v>-1879</v>
      </c>
      <c r="I25" s="39">
        <f t="shared" ref="I25:R25" si="10">I19</f>
        <v>-1852.56</v>
      </c>
      <c r="J25" s="11">
        <f t="shared" si="10"/>
        <v>-1874.3999999999996</v>
      </c>
      <c r="K25" s="11">
        <f t="shared" si="10"/>
        <v>-1973.625</v>
      </c>
      <c r="L25" s="11">
        <f t="shared" si="10"/>
        <v>-1942.6</v>
      </c>
      <c r="M25" s="11">
        <f t="shared" si="10"/>
        <v>-1966.7999999999995</v>
      </c>
      <c r="N25" s="11">
        <f t="shared" si="10"/>
        <v>-2035.4599999999996</v>
      </c>
      <c r="O25" s="11">
        <f t="shared" si="10"/>
        <v>-2068.4999999999995</v>
      </c>
      <c r="P25" s="11">
        <f t="shared" si="10"/>
        <v>-2171.3999999999996</v>
      </c>
      <c r="Q25" s="11">
        <f t="shared" si="10"/>
        <v>-2278.4999999999995</v>
      </c>
      <c r="R25" s="11">
        <f t="shared" si="10"/>
        <v>-2391.9</v>
      </c>
    </row>
    <row r="26" spans="1:18" s="52" customFormat="1" x14ac:dyDescent="0.25">
      <c r="A26" s="1"/>
      <c r="B26" s="1"/>
      <c r="C26" s="14"/>
      <c r="D26" s="14"/>
      <c r="E26" s="14"/>
      <c r="F26" s="14"/>
      <c r="G26" s="14"/>
      <c r="H26" s="14"/>
      <c r="I26" s="19"/>
      <c r="J26" s="69"/>
      <c r="K26" s="69"/>
      <c r="L26" s="69"/>
      <c r="M26" s="69"/>
      <c r="N26" s="69"/>
      <c r="O26" s="69"/>
      <c r="P26" s="69"/>
      <c r="Q26" s="69"/>
      <c r="R26" s="69"/>
    </row>
    <row r="27" spans="1:18" s="52" customFormat="1" x14ac:dyDescent="0.25">
      <c r="A27" s="1"/>
      <c r="B27" s="1" t="s">
        <v>13</v>
      </c>
      <c r="C27" s="11">
        <f>C16+C25</f>
        <v>1728</v>
      </c>
      <c r="D27" s="11">
        <f t="shared" ref="D27:R27" si="11">D16+D25</f>
        <v>1237</v>
      </c>
      <c r="E27" s="11">
        <f t="shared" si="11"/>
        <v>258</v>
      </c>
      <c r="F27" s="11">
        <f t="shared" si="11"/>
        <v>1604</v>
      </c>
      <c r="G27" s="11">
        <f t="shared" si="11"/>
        <v>2009</v>
      </c>
      <c r="H27" s="11">
        <f t="shared" si="11"/>
        <v>1376</v>
      </c>
      <c r="I27" s="11">
        <f t="shared" si="11"/>
        <v>1313.2260000000001</v>
      </c>
      <c r="J27" s="11">
        <f t="shared" si="11"/>
        <v>1504.9869999999996</v>
      </c>
      <c r="K27" s="11">
        <f t="shared" si="11"/>
        <v>1659.5069999999996</v>
      </c>
      <c r="L27" s="11">
        <f t="shared" si="11"/>
        <v>1876.375</v>
      </c>
      <c r="M27" s="11">
        <f t="shared" si="11"/>
        <v>2056.1999999999998</v>
      </c>
      <c r="N27" s="11">
        <f t="shared" si="11"/>
        <v>2185.5399999999995</v>
      </c>
      <c r="O27" s="11">
        <f t="shared" si="11"/>
        <v>2363.9999999999995</v>
      </c>
      <c r="P27" s="11">
        <f t="shared" si="11"/>
        <v>2481.5999999999995</v>
      </c>
      <c r="Q27" s="11">
        <f t="shared" si="11"/>
        <v>2603.9999999999995</v>
      </c>
      <c r="R27" s="11">
        <f t="shared" si="11"/>
        <v>2733.6</v>
      </c>
    </row>
    <row r="28" spans="1:18" s="52" customFormat="1" x14ac:dyDescent="0.25">
      <c r="A28" s="1"/>
      <c r="B28" s="1" t="s">
        <v>52</v>
      </c>
      <c r="C28" s="85">
        <f>SUM('Raw IS'!K13:K14)</f>
        <v>-416</v>
      </c>
      <c r="D28" s="85">
        <f>SUM('Raw IS'!L13:L14)</f>
        <v>-380</v>
      </c>
      <c r="E28" s="85">
        <f>SUM('Raw IS'!M13:M14)</f>
        <v>-439</v>
      </c>
      <c r="F28" s="85">
        <f>SUM('Raw IS'!D10:D11)</f>
        <v>-482</v>
      </c>
      <c r="G28" s="85">
        <f>SUM('Raw IS'!E10:E11)</f>
        <v>-586</v>
      </c>
      <c r="H28" s="85">
        <f>SUM('Raw IS'!F10:F11)</f>
        <v>-331</v>
      </c>
      <c r="I28" s="20">
        <f t="shared" ref="I28:R28" si="12">I29*I11</f>
        <v>-298.8</v>
      </c>
      <c r="J28" s="18">
        <f t="shared" si="12"/>
        <v>-304.58999999999997</v>
      </c>
      <c r="K28" s="18">
        <f t="shared" si="12"/>
        <v>-324.08999999999997</v>
      </c>
      <c r="L28" s="18">
        <f t="shared" si="12"/>
        <v>-326.70999999999998</v>
      </c>
      <c r="M28" s="18">
        <f t="shared" si="12"/>
        <v>-312.89999999999998</v>
      </c>
      <c r="N28" s="18">
        <f t="shared" si="12"/>
        <v>-328.29999999999995</v>
      </c>
      <c r="O28" s="18">
        <f t="shared" si="12"/>
        <v>-325.04999999999995</v>
      </c>
      <c r="P28" s="18">
        <f t="shared" si="12"/>
        <v>-315.36999999999995</v>
      </c>
      <c r="Q28" s="18">
        <f t="shared" si="12"/>
        <v>-314.64999999999998</v>
      </c>
      <c r="R28" s="18">
        <f t="shared" si="12"/>
        <v>-318.92</v>
      </c>
    </row>
    <row r="29" spans="1:18" s="52" customFormat="1" x14ac:dyDescent="0.25">
      <c r="A29" s="1"/>
      <c r="B29" s="74" t="s">
        <v>16</v>
      </c>
      <c r="C29" s="75">
        <f t="shared" ref="C29:H29" si="13">C28/C11</f>
        <v>-3.2932235592146926E-2</v>
      </c>
      <c r="D29" s="75">
        <f t="shared" si="13"/>
        <v>-2.870741104479867E-2</v>
      </c>
      <c r="E29" s="75">
        <f t="shared" si="13"/>
        <v>-3.3994114914046768E-2</v>
      </c>
      <c r="F29" s="75">
        <f t="shared" si="13"/>
        <v>-7.4914516630400996E-2</v>
      </c>
      <c r="G29" s="75">
        <f t="shared" si="13"/>
        <v>-7.4346612534889625E-2</v>
      </c>
      <c r="H29" s="75">
        <f t="shared" si="13"/>
        <v>-4.3783068783068785E-2</v>
      </c>
      <c r="I29" s="79">
        <v>-0.04</v>
      </c>
      <c r="J29" s="79">
        <v>-3.9E-2</v>
      </c>
      <c r="K29" s="79">
        <v>-3.9E-2</v>
      </c>
      <c r="L29" s="79">
        <v>-3.6999999999999998E-2</v>
      </c>
      <c r="M29" s="79">
        <v>-3.5000000000000003E-2</v>
      </c>
      <c r="N29" s="79">
        <v>-3.5000000000000003E-2</v>
      </c>
      <c r="O29" s="79">
        <v>-3.3000000000000002E-2</v>
      </c>
      <c r="P29" s="79">
        <v>-3.0499999999999999E-2</v>
      </c>
      <c r="Q29" s="79">
        <v>-2.9000000000000001E-2</v>
      </c>
      <c r="R29" s="79">
        <v>-2.8000000000000001E-2</v>
      </c>
    </row>
    <row r="30" spans="1:18" s="52" customFormat="1" x14ac:dyDescent="0.25">
      <c r="A30" s="1"/>
      <c r="B30" s="1"/>
      <c r="C30" s="67"/>
      <c r="D30" s="67"/>
      <c r="E30" s="67"/>
      <c r="F30" s="67"/>
      <c r="G30" s="67"/>
      <c r="H30" s="67"/>
      <c r="I30" s="12"/>
      <c r="J30" s="1"/>
      <c r="K30" s="1"/>
      <c r="L30" s="1"/>
      <c r="M30" s="1"/>
      <c r="N30" s="1"/>
      <c r="O30" s="1"/>
      <c r="P30" s="1"/>
      <c r="Q30" s="1"/>
      <c r="R30" s="1"/>
    </row>
    <row r="31" spans="1:18" s="52" customFormat="1" x14ac:dyDescent="0.25">
      <c r="A31" s="1"/>
      <c r="B31" s="1" t="s">
        <v>14</v>
      </c>
      <c r="C31" s="11">
        <f>C27+C28</f>
        <v>1312</v>
      </c>
      <c r="D31" s="11">
        <f t="shared" ref="D31:R31" si="14">D27+D28</f>
        <v>857</v>
      </c>
      <c r="E31" s="11">
        <f t="shared" si="14"/>
        <v>-181</v>
      </c>
      <c r="F31" s="11">
        <f t="shared" si="14"/>
        <v>1122</v>
      </c>
      <c r="G31" s="11">
        <f t="shared" si="14"/>
        <v>1423</v>
      </c>
      <c r="H31" s="11">
        <f>H27+H28</f>
        <v>1045</v>
      </c>
      <c r="I31" s="39">
        <f t="shared" si="14"/>
        <v>1014.4260000000002</v>
      </c>
      <c r="J31" s="11">
        <f t="shared" si="14"/>
        <v>1200.3969999999997</v>
      </c>
      <c r="K31" s="11">
        <f t="shared" si="14"/>
        <v>1335.4169999999997</v>
      </c>
      <c r="L31" s="11">
        <f t="shared" si="14"/>
        <v>1549.665</v>
      </c>
      <c r="M31" s="11">
        <f t="shared" si="14"/>
        <v>1743.2999999999997</v>
      </c>
      <c r="N31" s="11">
        <f t="shared" si="14"/>
        <v>1857.2399999999996</v>
      </c>
      <c r="O31" s="11">
        <f t="shared" si="14"/>
        <v>2038.9499999999996</v>
      </c>
      <c r="P31" s="11">
        <f t="shared" si="14"/>
        <v>2166.2299999999996</v>
      </c>
      <c r="Q31" s="11">
        <f t="shared" si="14"/>
        <v>2289.3499999999995</v>
      </c>
      <c r="R31" s="11">
        <f t="shared" si="14"/>
        <v>2414.6799999999998</v>
      </c>
    </row>
    <row r="32" spans="1:18" s="52" customFormat="1" x14ac:dyDescent="0.25">
      <c r="A32" s="1"/>
      <c r="B32" s="1"/>
      <c r="C32" s="21"/>
      <c r="D32" s="21"/>
      <c r="E32" s="21"/>
      <c r="F32" s="21"/>
      <c r="G32" s="21"/>
      <c r="H32" s="67"/>
      <c r="I32" s="12"/>
      <c r="J32" s="1"/>
      <c r="K32" s="1"/>
      <c r="L32" s="1"/>
      <c r="M32" s="1"/>
      <c r="N32" s="1"/>
      <c r="O32" s="1"/>
      <c r="P32" s="1"/>
      <c r="Q32" s="1"/>
      <c r="R32" s="1"/>
    </row>
    <row r="33" spans="1:86" s="52" customFormat="1" x14ac:dyDescent="0.25">
      <c r="A33" s="1"/>
      <c r="B33" s="1" t="s">
        <v>15</v>
      </c>
      <c r="C33" s="11">
        <f>C27</f>
        <v>1728</v>
      </c>
      <c r="D33" s="11">
        <f t="shared" ref="D33:R33" si="15">D27</f>
        <v>1237</v>
      </c>
      <c r="E33" s="11">
        <f t="shared" si="15"/>
        <v>258</v>
      </c>
      <c r="F33" s="11">
        <f t="shared" si="15"/>
        <v>1604</v>
      </c>
      <c r="G33" s="11">
        <f t="shared" si="15"/>
        <v>2009</v>
      </c>
      <c r="H33" s="11">
        <f t="shared" si="15"/>
        <v>1376</v>
      </c>
      <c r="I33" s="39">
        <f t="shared" si="15"/>
        <v>1313.2260000000001</v>
      </c>
      <c r="J33" s="11">
        <f t="shared" si="15"/>
        <v>1504.9869999999996</v>
      </c>
      <c r="K33" s="11">
        <f t="shared" si="15"/>
        <v>1659.5069999999996</v>
      </c>
      <c r="L33" s="11">
        <f t="shared" si="15"/>
        <v>1876.375</v>
      </c>
      <c r="M33" s="11">
        <f t="shared" si="15"/>
        <v>2056.1999999999998</v>
      </c>
      <c r="N33" s="11">
        <f t="shared" si="15"/>
        <v>2185.5399999999995</v>
      </c>
      <c r="O33" s="11">
        <f t="shared" si="15"/>
        <v>2363.9999999999995</v>
      </c>
      <c r="P33" s="11">
        <f t="shared" si="15"/>
        <v>2481.5999999999995</v>
      </c>
      <c r="Q33" s="11">
        <f t="shared" si="15"/>
        <v>2603.9999999999995</v>
      </c>
      <c r="R33" s="11">
        <f t="shared" si="15"/>
        <v>2733.6</v>
      </c>
    </row>
    <row r="34" spans="1:86" s="52" customFormat="1" x14ac:dyDescent="0.25">
      <c r="A34" s="1"/>
      <c r="B34" s="74" t="s">
        <v>16</v>
      </c>
      <c r="C34" s="75">
        <f t="shared" ref="C34:R34" si="16">C33/C11</f>
        <v>0.13679544015199493</v>
      </c>
      <c r="D34" s="75">
        <f t="shared" si="16"/>
        <v>9.3450177532673567E-2</v>
      </c>
      <c r="E34" s="75">
        <f t="shared" si="16"/>
        <v>1.9978318104382841E-2</v>
      </c>
      <c r="F34" s="75">
        <f t="shared" si="16"/>
        <v>0.24930059061237178</v>
      </c>
      <c r="G34" s="75">
        <f t="shared" si="16"/>
        <v>0.25488454706927177</v>
      </c>
      <c r="H34" s="75">
        <f t="shared" si="16"/>
        <v>0.18201058201058201</v>
      </c>
      <c r="I34" s="76">
        <f t="shared" si="16"/>
        <v>0.17580000000000001</v>
      </c>
      <c r="J34" s="77">
        <f t="shared" si="16"/>
        <v>0.19269999999999998</v>
      </c>
      <c r="K34" s="77">
        <f t="shared" si="16"/>
        <v>0.19969999999999996</v>
      </c>
      <c r="L34" s="77">
        <f t="shared" si="16"/>
        <v>0.21249999999999999</v>
      </c>
      <c r="M34" s="77">
        <f t="shared" si="16"/>
        <v>0.23000000000000004</v>
      </c>
      <c r="N34" s="77">
        <f t="shared" si="16"/>
        <v>0.23299999999999998</v>
      </c>
      <c r="O34" s="77">
        <f t="shared" si="16"/>
        <v>0.24</v>
      </c>
      <c r="P34" s="77">
        <f t="shared" si="16"/>
        <v>0.24</v>
      </c>
      <c r="Q34" s="77">
        <f t="shared" si="16"/>
        <v>0.24</v>
      </c>
      <c r="R34" s="77">
        <f t="shared" si="16"/>
        <v>0.24</v>
      </c>
    </row>
    <row r="35" spans="1:86" s="52" customFormat="1" x14ac:dyDescent="0.25">
      <c r="A35" s="1"/>
      <c r="B35" s="13"/>
      <c r="C35" s="1"/>
      <c r="D35" s="1"/>
      <c r="E35" s="2"/>
      <c r="F35" s="1"/>
      <c r="G35" s="1"/>
      <c r="H35" s="1"/>
      <c r="I35" s="12"/>
      <c r="J35" s="1"/>
      <c r="K35" s="1"/>
      <c r="L35" s="1"/>
      <c r="M35" s="1"/>
      <c r="N35" s="1"/>
      <c r="O35" s="1"/>
      <c r="P35" s="1"/>
      <c r="Q35" s="1"/>
      <c r="R35" s="1"/>
    </row>
    <row r="36" spans="1:86" s="52" customFormat="1" x14ac:dyDescent="0.25">
      <c r="A36" s="1"/>
      <c r="B36" s="1" t="s">
        <v>17</v>
      </c>
      <c r="C36" s="11">
        <f>'Raw IS'!K16</f>
        <v>329</v>
      </c>
      <c r="D36" s="11">
        <f>'Raw IS'!L16</f>
        <v>213</v>
      </c>
      <c r="E36" s="11">
        <f>'Raw IS'!M16</f>
        <v>185</v>
      </c>
      <c r="F36" s="11">
        <f>'Raw IS'!D13</f>
        <v>257</v>
      </c>
      <c r="G36" s="11">
        <f>'Raw IS'!E13</f>
        <v>348</v>
      </c>
      <c r="H36" s="11">
        <f>'Raw IS'!F13</f>
        <v>251</v>
      </c>
      <c r="I36" s="20">
        <f>I33*I37</f>
        <v>341.96405040000008</v>
      </c>
      <c r="J36" s="18">
        <f t="shared" ref="J36:R36" si="17">J33*J37</f>
        <v>387.68465119999991</v>
      </c>
      <c r="K36" s="18">
        <f t="shared" si="17"/>
        <v>425.99544689999988</v>
      </c>
      <c r="L36" s="18">
        <f t="shared" si="17"/>
        <v>478.47562500000004</v>
      </c>
      <c r="M36" s="18">
        <f t="shared" si="17"/>
        <v>493.48799999999994</v>
      </c>
      <c r="N36" s="18">
        <f t="shared" si="17"/>
        <v>524.52959999999985</v>
      </c>
      <c r="O36" s="18">
        <f t="shared" si="17"/>
        <v>567.3599999999999</v>
      </c>
      <c r="P36" s="18">
        <f t="shared" si="17"/>
        <v>595.58399999999983</v>
      </c>
      <c r="Q36" s="18">
        <f t="shared" si="17"/>
        <v>624.95999999999992</v>
      </c>
      <c r="R36" s="18">
        <f t="shared" si="17"/>
        <v>656.06399999999996</v>
      </c>
    </row>
    <row r="37" spans="1:86" s="52" customFormat="1" x14ac:dyDescent="0.25">
      <c r="A37" s="1"/>
      <c r="B37" s="74" t="s">
        <v>18</v>
      </c>
      <c r="C37" s="78">
        <f>C36/C33</f>
        <v>0.19039351851851852</v>
      </c>
      <c r="D37" s="78">
        <f t="shared" ref="D37:H37" si="18">D36/D33</f>
        <v>0.17219078415521422</v>
      </c>
      <c r="E37" s="78">
        <f t="shared" si="18"/>
        <v>0.71705426356589153</v>
      </c>
      <c r="F37" s="78">
        <f t="shared" si="18"/>
        <v>0.16022443890274315</v>
      </c>
      <c r="G37" s="78">
        <f t="shared" si="18"/>
        <v>0.17322050771528125</v>
      </c>
      <c r="H37" s="78">
        <f t="shared" si="18"/>
        <v>0.18241279069767441</v>
      </c>
      <c r="I37" s="79">
        <v>0.26040000000000002</v>
      </c>
      <c r="J37" s="80">
        <v>0.2576</v>
      </c>
      <c r="K37" s="80">
        <v>0.25669999999999998</v>
      </c>
      <c r="L37" s="80">
        <v>0.255</v>
      </c>
      <c r="M37" s="80">
        <v>0.24</v>
      </c>
      <c r="N37" s="80">
        <v>0.24</v>
      </c>
      <c r="O37" s="80">
        <v>0.24</v>
      </c>
      <c r="P37" s="80">
        <v>0.24</v>
      </c>
      <c r="Q37" s="80">
        <v>0.24</v>
      </c>
      <c r="R37" s="80">
        <v>0.24</v>
      </c>
    </row>
    <row r="38" spans="1:86" s="52" customFormat="1" x14ac:dyDescent="0.25">
      <c r="A38" s="1"/>
      <c r="B38" s="1"/>
      <c r="C38" s="1"/>
      <c r="D38" s="1"/>
      <c r="E38" s="1"/>
      <c r="F38" s="1"/>
      <c r="G38" s="1"/>
      <c r="H38" s="1"/>
      <c r="I38" s="12"/>
      <c r="J38" s="1"/>
      <c r="K38" s="1"/>
      <c r="L38" s="1"/>
      <c r="M38" s="1"/>
      <c r="N38" s="1"/>
      <c r="O38" s="1"/>
      <c r="P38" s="1"/>
      <c r="Q38" s="1"/>
      <c r="R38" s="1"/>
    </row>
    <row r="39" spans="1:86" s="52" customFormat="1" x14ac:dyDescent="0.25">
      <c r="A39" s="1"/>
      <c r="B39" s="9" t="s">
        <v>19</v>
      </c>
      <c r="C39" s="9">
        <v>2017</v>
      </c>
      <c r="D39" s="9">
        <v>2018</v>
      </c>
      <c r="E39" s="10">
        <v>2019</v>
      </c>
      <c r="F39" s="9">
        <v>2020</v>
      </c>
      <c r="G39" s="9">
        <v>2021</v>
      </c>
      <c r="H39" s="9">
        <v>2022</v>
      </c>
      <c r="I39" s="66">
        <v>2023</v>
      </c>
      <c r="J39" s="9">
        <v>2024</v>
      </c>
      <c r="K39" s="9">
        <v>2025</v>
      </c>
      <c r="L39" s="9">
        <v>2026</v>
      </c>
      <c r="M39" s="9">
        <v>2027</v>
      </c>
      <c r="N39" s="9">
        <v>2028</v>
      </c>
      <c r="O39" s="9">
        <v>2029</v>
      </c>
      <c r="P39" s="9">
        <v>2030</v>
      </c>
      <c r="Q39" s="9">
        <v>2031</v>
      </c>
      <c r="R39" s="9">
        <v>2032</v>
      </c>
      <c r="S39" s="9">
        <v>2033</v>
      </c>
      <c r="T39" s="9">
        <v>2034</v>
      </c>
      <c r="U39" s="9">
        <v>2035</v>
      </c>
      <c r="V39" s="9">
        <v>2036</v>
      </c>
      <c r="W39" s="9">
        <v>2037</v>
      </c>
      <c r="X39" s="9">
        <v>2038</v>
      </c>
      <c r="Y39" s="9">
        <v>2039</v>
      </c>
      <c r="Z39" s="9">
        <v>2040</v>
      </c>
      <c r="AA39" s="9">
        <v>2041</v>
      </c>
      <c r="AB39" s="9">
        <v>2042</v>
      </c>
      <c r="AC39" s="9">
        <v>2043</v>
      </c>
      <c r="AD39" s="9">
        <v>2044</v>
      </c>
      <c r="AE39" s="9">
        <v>2045</v>
      </c>
      <c r="AF39" s="9">
        <v>2046</v>
      </c>
      <c r="AG39" s="9">
        <v>2047</v>
      </c>
      <c r="AH39" s="9">
        <v>2048</v>
      </c>
      <c r="AI39" s="9">
        <v>2049</v>
      </c>
      <c r="AJ39" s="9">
        <v>2050</v>
      </c>
      <c r="AK39" s="9">
        <v>2051</v>
      </c>
      <c r="AL39" s="9">
        <v>2052</v>
      </c>
      <c r="AM39" s="9">
        <v>2053</v>
      </c>
      <c r="AN39" s="9">
        <v>2054</v>
      </c>
      <c r="AO39" s="9">
        <v>2055</v>
      </c>
      <c r="AP39" s="9">
        <v>2056</v>
      </c>
      <c r="AQ39" s="9">
        <v>2057</v>
      </c>
      <c r="AR39" s="9">
        <v>2058</v>
      </c>
      <c r="AS39" s="9">
        <v>2059</v>
      </c>
      <c r="AT39" s="9">
        <v>2060</v>
      </c>
      <c r="AU39" s="9">
        <v>2061</v>
      </c>
      <c r="AV39" s="9">
        <v>2062</v>
      </c>
      <c r="AW39" s="9">
        <v>2063</v>
      </c>
      <c r="AX39" s="9">
        <v>2064</v>
      </c>
      <c r="AY39" s="9">
        <v>2065</v>
      </c>
      <c r="AZ39" s="9">
        <v>2066</v>
      </c>
      <c r="BA39" s="9">
        <v>2067</v>
      </c>
      <c r="BB39" s="9">
        <v>2068</v>
      </c>
      <c r="BC39" s="9">
        <v>2069</v>
      </c>
      <c r="BD39" s="9">
        <v>2070</v>
      </c>
      <c r="BE39" s="9">
        <v>2071</v>
      </c>
      <c r="BF39" s="9">
        <v>2072</v>
      </c>
      <c r="BG39" s="9">
        <v>2073</v>
      </c>
      <c r="BH39" s="9">
        <v>2074</v>
      </c>
      <c r="BI39" s="9">
        <v>2075</v>
      </c>
      <c r="BJ39" s="9">
        <v>2076</v>
      </c>
      <c r="BK39" s="9">
        <v>2077</v>
      </c>
      <c r="BL39" s="9">
        <v>2078</v>
      </c>
      <c r="BM39" s="9">
        <v>2079</v>
      </c>
      <c r="BN39" s="9">
        <v>2080</v>
      </c>
      <c r="BO39" s="9">
        <v>2081</v>
      </c>
      <c r="BP39" s="9">
        <v>2082</v>
      </c>
      <c r="BQ39" s="9">
        <v>2083</v>
      </c>
      <c r="BR39" s="9">
        <v>2084</v>
      </c>
      <c r="BS39" s="9">
        <v>2085</v>
      </c>
      <c r="BT39" s="9">
        <v>2086</v>
      </c>
      <c r="BU39" s="9">
        <v>2087</v>
      </c>
      <c r="BV39" s="9">
        <v>2088</v>
      </c>
      <c r="BW39" s="9">
        <v>2089</v>
      </c>
      <c r="BX39" s="9">
        <v>2090</v>
      </c>
      <c r="BY39" s="9">
        <v>2091</v>
      </c>
      <c r="BZ39" s="9">
        <v>2092</v>
      </c>
      <c r="CA39" s="9">
        <v>2093</v>
      </c>
      <c r="CB39" s="9">
        <v>2094</v>
      </c>
      <c r="CC39" s="9">
        <v>2095</v>
      </c>
      <c r="CD39" s="9">
        <v>2096</v>
      </c>
      <c r="CE39" s="9">
        <v>2097</v>
      </c>
      <c r="CF39" s="9">
        <v>2098</v>
      </c>
      <c r="CG39" s="9">
        <v>2099</v>
      </c>
      <c r="CH39" s="9">
        <v>2100</v>
      </c>
    </row>
    <row r="40" spans="1:86" s="52" customFormat="1" x14ac:dyDescent="0.25">
      <c r="A40" s="1"/>
      <c r="B40" s="1" t="s">
        <v>20</v>
      </c>
      <c r="C40" s="11">
        <f>SUM('Raw CF'!J9:J10)</f>
        <v>524</v>
      </c>
      <c r="D40" s="11">
        <f>SUM('Raw CF'!K9:K10)</f>
        <v>547</v>
      </c>
      <c r="E40" s="11">
        <f>SUM('Raw CF'!L9:L10)</f>
        <v>588</v>
      </c>
      <c r="F40" s="11">
        <f>SUM('Raw CF'!D8)</f>
        <v>521</v>
      </c>
      <c r="G40" s="11">
        <f>SUM('Raw CF'!E8)</f>
        <v>363</v>
      </c>
      <c r="H40" s="11">
        <f>SUM('Raw CF'!F8)</f>
        <v>221</v>
      </c>
      <c r="I40" s="18">
        <f>I41*I11</f>
        <v>234.93</v>
      </c>
      <c r="J40" s="18">
        <f t="shared" ref="J40:R40" si="19">J41*J11</f>
        <v>233.47</v>
      </c>
      <c r="K40" s="18">
        <f t="shared" si="19"/>
        <v>226.73</v>
      </c>
      <c r="L40" s="18">
        <f t="shared" si="19"/>
        <v>213</v>
      </c>
      <c r="M40" s="18">
        <f t="shared" si="19"/>
        <v>223</v>
      </c>
      <c r="N40" s="18">
        <f t="shared" si="19"/>
        <v>235</v>
      </c>
      <c r="O40" s="18">
        <f t="shared" si="19"/>
        <v>246</v>
      </c>
      <c r="P40" s="18">
        <f t="shared" si="19"/>
        <v>259</v>
      </c>
      <c r="Q40" s="18">
        <f t="shared" si="19"/>
        <v>271</v>
      </c>
      <c r="R40" s="18">
        <f t="shared" si="19"/>
        <v>285</v>
      </c>
    </row>
    <row r="41" spans="1:86" s="52" customFormat="1" x14ac:dyDescent="0.25">
      <c r="A41" s="1"/>
      <c r="B41" s="74" t="s">
        <v>16</v>
      </c>
      <c r="C41" s="75">
        <f t="shared" ref="C41:R41" si="20">C40/C11</f>
        <v>4.1481950601646611E-2</v>
      </c>
      <c r="D41" s="75">
        <f t="shared" si="20"/>
        <v>4.1323562740802296E-2</v>
      </c>
      <c r="E41" s="75">
        <f t="shared" si="20"/>
        <v>4.5531980796035314E-2</v>
      </c>
      <c r="F41" s="75">
        <f t="shared" si="20"/>
        <v>8.0976064656512275E-2</v>
      </c>
      <c r="G41" s="75">
        <f t="shared" si="20"/>
        <v>4.6054300938848006E-2</v>
      </c>
      <c r="H41" s="75">
        <f t="shared" si="20"/>
        <v>2.9232804232804232E-2</v>
      </c>
      <c r="I41" s="75">
        <v>3.144979919678715E-2</v>
      </c>
      <c r="J41" s="75">
        <v>2.9893725992317544E-2</v>
      </c>
      <c r="K41" s="75">
        <v>2.7283995186522261E-2</v>
      </c>
      <c r="L41" s="75">
        <v>2.4122310305775763E-2</v>
      </c>
      <c r="M41" s="75">
        <v>2.4944071588366895E-2</v>
      </c>
      <c r="N41" s="75">
        <v>2.5053304904051176E-2</v>
      </c>
      <c r="O41" s="75">
        <v>2.4974619289340107E-2</v>
      </c>
      <c r="P41" s="75">
        <v>2.5048355899419734E-2</v>
      </c>
      <c r="Q41" s="75">
        <v>2.4976958525345625E-2</v>
      </c>
      <c r="R41" s="75">
        <v>2.5021949078138719E-2</v>
      </c>
    </row>
    <row r="42" spans="1:86" s="52" customFormat="1" x14ac:dyDescent="0.25">
      <c r="A42" s="1"/>
      <c r="B42" s="1"/>
      <c r="C42" s="1"/>
      <c r="D42" s="1"/>
      <c r="E42" s="2"/>
      <c r="F42" s="1"/>
      <c r="G42" s="1"/>
      <c r="H42" s="1"/>
      <c r="I42" s="12"/>
      <c r="J42" s="1"/>
      <c r="K42" s="1"/>
      <c r="L42" s="1"/>
      <c r="M42" s="1"/>
      <c r="N42" s="1"/>
      <c r="O42" s="1"/>
      <c r="P42" s="1"/>
      <c r="Q42" s="1"/>
      <c r="R42" s="1"/>
    </row>
    <row r="43" spans="1:86" s="52" customFormat="1" x14ac:dyDescent="0.25">
      <c r="A43" s="1"/>
      <c r="B43" s="1" t="s">
        <v>21</v>
      </c>
      <c r="C43" s="11">
        <f>'Raw CF'!J28</f>
        <v>-707</v>
      </c>
      <c r="D43" s="11">
        <f>'Raw CF'!K28</f>
        <v>-629</v>
      </c>
      <c r="E43" s="11">
        <f>'Raw CF'!L28</f>
        <v>-458</v>
      </c>
      <c r="F43" s="38">
        <f>'Raw CF'!D24</f>
        <v>-228</v>
      </c>
      <c r="G43" s="38">
        <f>'Raw CF'!E24</f>
        <v>-270</v>
      </c>
      <c r="H43" s="38">
        <f>'Raw CF'!F24</f>
        <v>-328</v>
      </c>
      <c r="I43" s="20">
        <f>I44*I11</f>
        <v>-331.61</v>
      </c>
      <c r="J43" s="20">
        <f t="shared" ref="J43:R43" si="21">J44*J11</f>
        <v>-317.37</v>
      </c>
      <c r="K43" s="20">
        <f t="shared" si="21"/>
        <v>-310.22000000000003</v>
      </c>
      <c r="L43" s="20">
        <f t="shared" si="21"/>
        <v>-281</v>
      </c>
      <c r="M43" s="20">
        <f t="shared" si="21"/>
        <v>-286.00000000000006</v>
      </c>
      <c r="N43" s="20">
        <f t="shared" si="21"/>
        <v>-300</v>
      </c>
      <c r="O43" s="20">
        <f t="shared" si="21"/>
        <v>-315</v>
      </c>
      <c r="P43" s="20">
        <f t="shared" si="21"/>
        <v>-331</v>
      </c>
      <c r="Q43" s="20">
        <f t="shared" si="21"/>
        <v>-347</v>
      </c>
      <c r="R43" s="20">
        <f t="shared" si="21"/>
        <v>-365</v>
      </c>
    </row>
    <row r="44" spans="1:86" s="52" customFormat="1" x14ac:dyDescent="0.25">
      <c r="A44" s="1"/>
      <c r="B44" s="74" t="s">
        <v>16</v>
      </c>
      <c r="C44" s="75">
        <f t="shared" ref="C44:R44" si="22">C43/C11</f>
        <v>-5.5968967701076629E-2</v>
      </c>
      <c r="D44" s="75">
        <f t="shared" si="22"/>
        <v>-4.7518319860995695E-2</v>
      </c>
      <c r="E44" s="75">
        <f t="shared" si="22"/>
        <v>-3.5465386402354034E-2</v>
      </c>
      <c r="F44" s="75">
        <f t="shared" si="22"/>
        <v>-3.5436742306496738E-2</v>
      </c>
      <c r="G44" s="75">
        <f t="shared" si="22"/>
        <v>-3.4255265161126619E-2</v>
      </c>
      <c r="H44" s="75">
        <f t="shared" si="22"/>
        <v>-4.3386243386243389E-2</v>
      </c>
      <c r="I44" s="75">
        <v>-4.4392235609103083E-2</v>
      </c>
      <c r="J44" s="75">
        <v>-4.0636363636363644E-2</v>
      </c>
      <c r="K44" s="75">
        <v>-3.7330926594464506E-2</v>
      </c>
      <c r="L44" s="75">
        <v>-3.1823329558323898E-2</v>
      </c>
      <c r="M44" s="75">
        <v>-3.1991051454138712E-2</v>
      </c>
      <c r="N44" s="75">
        <v>-3.1982942430703633E-2</v>
      </c>
      <c r="O44" s="75">
        <v>-3.197969543147209E-2</v>
      </c>
      <c r="P44" s="75">
        <v>-3.201160541586074E-2</v>
      </c>
      <c r="Q44" s="75">
        <v>-3.1981566820276502E-2</v>
      </c>
      <c r="R44" s="75">
        <v>-3.2045654082528532E-2</v>
      </c>
    </row>
    <row r="45" spans="1:86" s="52" customFormat="1" x14ac:dyDescent="0.25">
      <c r="A45" s="1"/>
      <c r="B45" s="1"/>
      <c r="C45" s="1"/>
      <c r="D45" s="1"/>
      <c r="E45" s="2"/>
      <c r="F45" s="1"/>
      <c r="G45" s="1"/>
      <c r="H45" s="1"/>
      <c r="I45" s="12"/>
      <c r="J45" s="1"/>
      <c r="K45" s="1"/>
      <c r="L45" s="1"/>
      <c r="M45" s="1"/>
      <c r="N45" s="1"/>
      <c r="O45" s="1"/>
      <c r="P45" s="1"/>
      <c r="Q45" s="1"/>
      <c r="R45" s="1"/>
    </row>
    <row r="46" spans="1:86" s="52" customFormat="1" x14ac:dyDescent="0.25">
      <c r="A46" s="1"/>
      <c r="B46" s="1" t="s">
        <v>22</v>
      </c>
      <c r="C46" s="11">
        <f>SUM('Raw CF'!J21:J25)</f>
        <v>-120</v>
      </c>
      <c r="D46" s="11">
        <f>SUM('Raw CF'!K21:K25)</f>
        <v>-57</v>
      </c>
      <c r="E46" s="11">
        <f>SUM('Raw CF'!L21:L25)</f>
        <v>-99</v>
      </c>
      <c r="F46" s="68">
        <f>SUM('Raw CF'!D16:D20)</f>
        <v>377</v>
      </c>
      <c r="G46" s="68">
        <f>SUM('Raw CF'!E16:E20)</f>
        <v>-490</v>
      </c>
      <c r="H46" s="68">
        <f>SUM('Raw CF'!F16:F20)</f>
        <v>68</v>
      </c>
      <c r="I46" s="20">
        <f>I47*I11</f>
        <v>74.7</v>
      </c>
      <c r="J46" s="20">
        <f t="shared" ref="J46:R46" si="23">J47*J11</f>
        <v>117.14999999999998</v>
      </c>
      <c r="K46" s="20">
        <f t="shared" si="23"/>
        <v>166.20000000000002</v>
      </c>
      <c r="L46" s="20">
        <f t="shared" si="23"/>
        <v>220.75</v>
      </c>
      <c r="M46" s="20">
        <f t="shared" si="23"/>
        <v>268.19999999999993</v>
      </c>
      <c r="N46" s="20">
        <f t="shared" si="23"/>
        <v>281.39999999999992</v>
      </c>
      <c r="O46" s="20">
        <f t="shared" si="23"/>
        <v>295.49999999999994</v>
      </c>
      <c r="P46" s="20">
        <f t="shared" si="23"/>
        <v>310.19999999999993</v>
      </c>
      <c r="Q46" s="20">
        <f t="shared" si="23"/>
        <v>325.49999999999994</v>
      </c>
      <c r="R46" s="20">
        <f t="shared" si="23"/>
        <v>341.7</v>
      </c>
    </row>
    <row r="47" spans="1:86" s="52" customFormat="1" x14ac:dyDescent="0.25">
      <c r="A47" s="1"/>
      <c r="B47" s="74" t="s">
        <v>16</v>
      </c>
      <c r="C47" s="75">
        <f t="shared" ref="C47:H47" si="24">C46/C11</f>
        <v>-9.4996833438885375E-3</v>
      </c>
      <c r="D47" s="75">
        <f t="shared" si="24"/>
        <v>-4.3061116567198006E-3</v>
      </c>
      <c r="E47" s="75">
        <f t="shared" si="24"/>
        <v>-7.6660988074957409E-3</v>
      </c>
      <c r="F47" s="75">
        <f t="shared" si="24"/>
        <v>5.8594964252409079E-2</v>
      </c>
      <c r="G47" s="75">
        <f t="shared" si="24"/>
        <v>-6.216696269982238E-2</v>
      </c>
      <c r="H47" s="75">
        <f t="shared" si="24"/>
        <v>8.9947089947089946E-3</v>
      </c>
      <c r="I47" s="79">
        <v>0.01</v>
      </c>
      <c r="J47" s="80">
        <v>1.4999999999999999E-2</v>
      </c>
      <c r="K47" s="80">
        <v>0.02</v>
      </c>
      <c r="L47" s="80">
        <v>2.5000000000000001E-2</v>
      </c>
      <c r="M47" s="80">
        <v>0.03</v>
      </c>
      <c r="N47" s="80">
        <v>0.03</v>
      </c>
      <c r="O47" s="80">
        <v>0.03</v>
      </c>
      <c r="P47" s="80">
        <v>0.03</v>
      </c>
      <c r="Q47" s="80">
        <v>0.03</v>
      </c>
      <c r="R47" s="80">
        <v>0.03</v>
      </c>
    </row>
    <row r="48" spans="1:86" s="52" customFormat="1" x14ac:dyDescent="0.25">
      <c r="A48" s="1"/>
      <c r="B48" s="1"/>
      <c r="C48" s="1"/>
      <c r="D48" s="1"/>
      <c r="E48" s="1"/>
      <c r="F48" s="1"/>
      <c r="G48" s="1"/>
      <c r="H48" s="1"/>
      <c r="I48" s="12"/>
      <c r="J48" s="1"/>
      <c r="K48" s="1"/>
      <c r="L48" s="1"/>
      <c r="M48" s="1"/>
      <c r="N48" s="1"/>
      <c r="O48" s="1"/>
      <c r="P48" s="1"/>
      <c r="Q48" s="1"/>
      <c r="R48" s="1"/>
    </row>
    <row r="49" spans="1:86" s="52" customFormat="1" x14ac:dyDescent="0.25">
      <c r="A49" s="1"/>
      <c r="B49" s="9" t="s">
        <v>23</v>
      </c>
      <c r="C49" s="11">
        <f>C33-C36</f>
        <v>1399</v>
      </c>
      <c r="D49" s="11">
        <f t="shared" ref="D49:H49" si="25">D33-D36</f>
        <v>1024</v>
      </c>
      <c r="E49" s="11">
        <f t="shared" si="25"/>
        <v>73</v>
      </c>
      <c r="F49" s="11">
        <f t="shared" si="25"/>
        <v>1347</v>
      </c>
      <c r="G49" s="11">
        <f t="shared" si="25"/>
        <v>1661</v>
      </c>
      <c r="H49" s="11">
        <f t="shared" si="25"/>
        <v>1125</v>
      </c>
      <c r="I49" s="39">
        <f t="shared" ref="I49" si="26">I33-I36</f>
        <v>971.26194959999998</v>
      </c>
      <c r="J49" s="11">
        <f t="shared" ref="J49:R49" si="27">J33-J36</f>
        <v>1117.3023487999997</v>
      </c>
      <c r="K49" s="11">
        <f t="shared" si="27"/>
        <v>1233.5115530999997</v>
      </c>
      <c r="L49" s="11">
        <f t="shared" si="27"/>
        <v>1397.899375</v>
      </c>
      <c r="M49" s="11">
        <f t="shared" si="27"/>
        <v>1562.712</v>
      </c>
      <c r="N49" s="11">
        <f t="shared" si="27"/>
        <v>1661.0103999999997</v>
      </c>
      <c r="O49" s="11">
        <f t="shared" si="27"/>
        <v>1796.6399999999996</v>
      </c>
      <c r="P49" s="11">
        <f t="shared" si="27"/>
        <v>1886.0159999999996</v>
      </c>
      <c r="Q49" s="11">
        <f t="shared" si="27"/>
        <v>1979.0399999999995</v>
      </c>
      <c r="R49" s="11">
        <f t="shared" si="27"/>
        <v>2077.5360000000001</v>
      </c>
    </row>
    <row r="50" spans="1:86" s="52" customFormat="1" x14ac:dyDescent="0.25">
      <c r="A50" s="1"/>
      <c r="B50" s="9" t="s">
        <v>50</v>
      </c>
      <c r="C50" s="11"/>
      <c r="D50" s="11"/>
      <c r="E50" s="11"/>
      <c r="F50" s="11">
        <f>'Raw IS'!D15</f>
        <v>-21</v>
      </c>
      <c r="G50" s="11">
        <f>'Raw IS'!E15</f>
        <v>258</v>
      </c>
      <c r="H50" s="11">
        <f>'Raw IS'!F15</f>
        <v>6</v>
      </c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86" s="52" customFormat="1" x14ac:dyDescent="0.25">
      <c r="A51" s="1"/>
      <c r="B51" s="9" t="s">
        <v>24</v>
      </c>
      <c r="C51" s="11">
        <f>C31-C36-C50</f>
        <v>983</v>
      </c>
      <c r="D51" s="11">
        <f t="shared" ref="D51:H51" si="28">D31-D36-D50</f>
        <v>644</v>
      </c>
      <c r="E51" s="11">
        <f t="shared" si="28"/>
        <v>-366</v>
      </c>
      <c r="F51" s="11">
        <f>F31-F36+F50</f>
        <v>844</v>
      </c>
      <c r="G51" s="11">
        <f t="shared" ref="G51:H51" si="29">G31-G36+G50</f>
        <v>1333</v>
      </c>
      <c r="H51" s="11">
        <f t="shared" si="29"/>
        <v>800</v>
      </c>
      <c r="I51" s="11">
        <f t="shared" ref="I51" si="30">I31-I36+I50</f>
        <v>672.46194960000003</v>
      </c>
      <c r="J51" s="11">
        <f t="shared" ref="J51" si="31">J31-J36+J50</f>
        <v>812.71234879999975</v>
      </c>
      <c r="K51" s="11">
        <f t="shared" ref="K51" si="32">K31-K36+K50</f>
        <v>909.42155309999976</v>
      </c>
      <c r="L51" s="11">
        <f t="shared" ref="L51" si="33">L31-L36+L50</f>
        <v>1071.1893749999999</v>
      </c>
      <c r="M51" s="11">
        <f t="shared" ref="M51" si="34">M31-M36+M50</f>
        <v>1249.8119999999999</v>
      </c>
      <c r="N51" s="11">
        <f t="shared" ref="N51" si="35">N31-N36+N50</f>
        <v>1332.7103999999997</v>
      </c>
      <c r="O51" s="11">
        <f t="shared" ref="O51" si="36">O31-O36+O50</f>
        <v>1471.5899999999997</v>
      </c>
      <c r="P51" s="11">
        <f t="shared" ref="P51" si="37">P31-P36+P50</f>
        <v>1570.6459999999997</v>
      </c>
      <c r="Q51" s="11">
        <f t="shared" ref="Q51" si="38">Q31-Q36+Q50</f>
        <v>1664.3899999999994</v>
      </c>
      <c r="R51" s="11">
        <f t="shared" ref="R51" si="39">R31-R36+R50</f>
        <v>1758.616</v>
      </c>
      <c r="S51" s="53">
        <f>R51*(1+$E$6)</f>
        <v>1793.7883200000001</v>
      </c>
      <c r="T51" s="53">
        <f t="shared" ref="T51:CE51" si="40">S51*(1+$E$6)</f>
        <v>1829.6640864000001</v>
      </c>
      <c r="U51" s="53">
        <f t="shared" si="40"/>
        <v>1866.2573681280001</v>
      </c>
      <c r="V51" s="53">
        <f t="shared" si="40"/>
        <v>1903.5825154905601</v>
      </c>
      <c r="W51" s="53">
        <f t="shared" si="40"/>
        <v>1941.6541658003714</v>
      </c>
      <c r="X51" s="53">
        <f t="shared" si="40"/>
        <v>1980.487249116379</v>
      </c>
      <c r="Y51" s="53">
        <f t="shared" si="40"/>
        <v>2020.0969940987065</v>
      </c>
      <c r="Z51" s="53">
        <f t="shared" si="40"/>
        <v>2060.4989339806807</v>
      </c>
      <c r="AA51" s="53">
        <f t="shared" si="40"/>
        <v>2101.7089126602946</v>
      </c>
      <c r="AB51" s="53">
        <f t="shared" si="40"/>
        <v>2143.7430909135005</v>
      </c>
      <c r="AC51" s="53">
        <f t="shared" si="40"/>
        <v>2186.6179527317704</v>
      </c>
      <c r="AD51" s="53">
        <f t="shared" si="40"/>
        <v>2230.3503117864057</v>
      </c>
      <c r="AE51" s="53">
        <f t="shared" si="40"/>
        <v>2274.9573180221337</v>
      </c>
      <c r="AF51" s="53">
        <f t="shared" si="40"/>
        <v>2320.4564643825765</v>
      </c>
      <c r="AG51" s="53">
        <f t="shared" si="40"/>
        <v>2366.865593670228</v>
      </c>
      <c r="AH51" s="53">
        <f t="shared" si="40"/>
        <v>2414.2029055436328</v>
      </c>
      <c r="AI51" s="53">
        <f t="shared" si="40"/>
        <v>2462.4869636545054</v>
      </c>
      <c r="AJ51" s="53">
        <f t="shared" si="40"/>
        <v>2511.7367029275956</v>
      </c>
      <c r="AK51" s="53">
        <f t="shared" si="40"/>
        <v>2561.9714369861476</v>
      </c>
      <c r="AL51" s="53">
        <f t="shared" si="40"/>
        <v>2613.2108657258705</v>
      </c>
      <c r="AM51" s="53">
        <f t="shared" si="40"/>
        <v>2665.4750830403877</v>
      </c>
      <c r="AN51" s="53">
        <f t="shared" si="40"/>
        <v>2718.7845847011954</v>
      </c>
      <c r="AO51" s="53">
        <f t="shared" si="40"/>
        <v>2773.1602763952192</v>
      </c>
      <c r="AP51" s="53">
        <f t="shared" si="40"/>
        <v>2828.6234819231236</v>
      </c>
      <c r="AQ51" s="53">
        <f t="shared" si="40"/>
        <v>2885.1959515615863</v>
      </c>
      <c r="AR51" s="53">
        <f t="shared" si="40"/>
        <v>2942.8998705928179</v>
      </c>
      <c r="AS51" s="53">
        <f t="shared" si="40"/>
        <v>3001.7578680046745</v>
      </c>
      <c r="AT51" s="53">
        <f t="shared" si="40"/>
        <v>3061.7930253647683</v>
      </c>
      <c r="AU51" s="53">
        <f t="shared" si="40"/>
        <v>3123.0288858720637</v>
      </c>
      <c r="AV51" s="53">
        <f t="shared" si="40"/>
        <v>3185.4894635895052</v>
      </c>
      <c r="AW51" s="53">
        <f t="shared" si="40"/>
        <v>3249.1992528612955</v>
      </c>
      <c r="AX51" s="53">
        <f t="shared" si="40"/>
        <v>3314.1832379185216</v>
      </c>
      <c r="AY51" s="53">
        <f t="shared" si="40"/>
        <v>3380.466902676892</v>
      </c>
      <c r="AZ51" s="53">
        <f t="shared" si="40"/>
        <v>3448.0762407304301</v>
      </c>
      <c r="BA51" s="53">
        <f t="shared" si="40"/>
        <v>3517.0377655450388</v>
      </c>
      <c r="BB51" s="53">
        <f t="shared" si="40"/>
        <v>3587.3785208559398</v>
      </c>
      <c r="BC51" s="53">
        <f t="shared" si="40"/>
        <v>3659.1260912730586</v>
      </c>
      <c r="BD51" s="53">
        <f t="shared" si="40"/>
        <v>3732.3086130985198</v>
      </c>
      <c r="BE51" s="53">
        <f t="shared" si="40"/>
        <v>3806.9547853604904</v>
      </c>
      <c r="BF51" s="53">
        <f t="shared" si="40"/>
        <v>3883.0938810677003</v>
      </c>
      <c r="BG51" s="53">
        <f t="shared" si="40"/>
        <v>3960.7557586890543</v>
      </c>
      <c r="BH51" s="53">
        <f t="shared" si="40"/>
        <v>4039.9708738628356</v>
      </c>
      <c r="BI51" s="53">
        <f t="shared" si="40"/>
        <v>4120.7702913400926</v>
      </c>
      <c r="BJ51" s="53">
        <f t="shared" si="40"/>
        <v>4203.1856971668949</v>
      </c>
      <c r="BK51" s="53">
        <f t="shared" si="40"/>
        <v>4287.2494111102333</v>
      </c>
      <c r="BL51" s="53">
        <f t="shared" si="40"/>
        <v>4372.9943993324378</v>
      </c>
      <c r="BM51" s="53">
        <f t="shared" si="40"/>
        <v>4460.4542873190867</v>
      </c>
      <c r="BN51" s="53">
        <f t="shared" si="40"/>
        <v>4549.6633730654685</v>
      </c>
      <c r="BO51" s="53">
        <f t="shared" si="40"/>
        <v>4640.6566405267777</v>
      </c>
      <c r="BP51" s="53">
        <f t="shared" si="40"/>
        <v>4733.4697733373132</v>
      </c>
      <c r="BQ51" s="53">
        <f t="shared" si="40"/>
        <v>4828.1391688040594</v>
      </c>
      <c r="BR51" s="53">
        <f t="shared" si="40"/>
        <v>4924.7019521801403</v>
      </c>
      <c r="BS51" s="53">
        <f t="shared" si="40"/>
        <v>5023.1959912237435</v>
      </c>
      <c r="BT51" s="53">
        <f t="shared" si="40"/>
        <v>5123.6599110482184</v>
      </c>
      <c r="BU51" s="53">
        <f t="shared" si="40"/>
        <v>5226.1331092691826</v>
      </c>
      <c r="BV51" s="53">
        <f t="shared" si="40"/>
        <v>5330.6557714545661</v>
      </c>
      <c r="BW51" s="53">
        <f t="shared" si="40"/>
        <v>5437.2688868836576</v>
      </c>
      <c r="BX51" s="53">
        <f t="shared" si="40"/>
        <v>5546.0142646213308</v>
      </c>
      <c r="BY51" s="53">
        <f t="shared" si="40"/>
        <v>5656.9345499137571</v>
      </c>
      <c r="BZ51" s="53">
        <f t="shared" si="40"/>
        <v>5770.0732409120319</v>
      </c>
      <c r="CA51" s="53">
        <f t="shared" si="40"/>
        <v>5885.4747057302729</v>
      </c>
      <c r="CB51" s="53">
        <f t="shared" si="40"/>
        <v>6003.1841998448781</v>
      </c>
      <c r="CC51" s="53">
        <f t="shared" si="40"/>
        <v>6123.2478838417755</v>
      </c>
      <c r="CD51" s="53">
        <f t="shared" si="40"/>
        <v>6245.7128415186107</v>
      </c>
      <c r="CE51" s="53">
        <f t="shared" si="40"/>
        <v>6370.6270983489831</v>
      </c>
      <c r="CF51" s="53">
        <f t="shared" ref="CF51:CH51" si="41">CE51*(1+$E$6)</f>
        <v>6498.039640315963</v>
      </c>
      <c r="CG51" s="53">
        <f t="shared" si="41"/>
        <v>6628.0004331222826</v>
      </c>
      <c r="CH51" s="53">
        <f t="shared" si="41"/>
        <v>6760.560441784728</v>
      </c>
    </row>
    <row r="52" spans="1:86" s="52" customFormat="1" x14ac:dyDescent="0.25">
      <c r="A52" s="1"/>
      <c r="B52" s="6"/>
      <c r="C52" s="11"/>
      <c r="D52" s="11"/>
      <c r="E52" s="11"/>
      <c r="F52" s="11"/>
      <c r="G52" s="11"/>
      <c r="H52" s="11"/>
      <c r="I52" s="12"/>
      <c r="J52" s="1"/>
      <c r="K52" s="1"/>
      <c r="L52" s="1"/>
      <c r="M52" s="1"/>
      <c r="N52" s="1"/>
      <c r="O52" s="1"/>
      <c r="P52" s="1"/>
      <c r="Q52" s="1"/>
      <c r="R52" s="1"/>
    </row>
    <row r="53" spans="1:86" s="52" customFormat="1" x14ac:dyDescent="0.25">
      <c r="A53" s="1"/>
      <c r="B53" s="9" t="s">
        <v>25</v>
      </c>
      <c r="C53" s="24">
        <f>C49+C40+C43-C46</f>
        <v>1336</v>
      </c>
      <c r="D53" s="24">
        <f t="shared" ref="C53:R53" si="42">D49+D40+D43-D46</f>
        <v>999</v>
      </c>
      <c r="E53" s="24">
        <f t="shared" si="42"/>
        <v>302</v>
      </c>
      <c r="F53" s="24">
        <f t="shared" si="42"/>
        <v>1263</v>
      </c>
      <c r="G53" s="24">
        <f t="shared" si="42"/>
        <v>2244</v>
      </c>
      <c r="H53" s="24">
        <f t="shared" si="42"/>
        <v>950</v>
      </c>
      <c r="I53" s="54">
        <f t="shared" si="42"/>
        <v>799.88194959999998</v>
      </c>
      <c r="J53" s="24">
        <f t="shared" si="42"/>
        <v>916.25234879999982</v>
      </c>
      <c r="K53" s="24">
        <f t="shared" si="42"/>
        <v>983.82155309999962</v>
      </c>
      <c r="L53" s="24">
        <f t="shared" si="42"/>
        <v>1109.149375</v>
      </c>
      <c r="M53" s="24">
        <f t="shared" si="42"/>
        <v>1231.5120000000002</v>
      </c>
      <c r="N53" s="24">
        <f t="shared" si="42"/>
        <v>1314.6103999999998</v>
      </c>
      <c r="O53" s="24">
        <f t="shared" si="42"/>
        <v>1432.1399999999996</v>
      </c>
      <c r="P53" s="24">
        <f t="shared" si="42"/>
        <v>1503.8159999999998</v>
      </c>
      <c r="Q53" s="24">
        <f t="shared" si="42"/>
        <v>1577.5399999999995</v>
      </c>
      <c r="R53" s="24">
        <f t="shared" si="42"/>
        <v>1655.836</v>
      </c>
    </row>
    <row r="54" spans="1:86" s="52" customFormat="1" x14ac:dyDescent="0.25">
      <c r="A54" s="1"/>
      <c r="B54" s="25" t="s">
        <v>26</v>
      </c>
      <c r="C54" s="1"/>
      <c r="D54" s="1"/>
      <c r="E54" s="1"/>
      <c r="F54" s="1"/>
      <c r="G54" s="1"/>
      <c r="H54" s="1"/>
      <c r="I54" s="71">
        <f t="shared" ref="I54:R54" si="43">I53/((1+$E$5)^I9)</f>
        <v>714.11698502117918</v>
      </c>
      <c r="J54" s="72">
        <f t="shared" si="43"/>
        <v>730.30123236560132</v>
      </c>
      <c r="K54" s="72">
        <f t="shared" si="43"/>
        <v>700.0784857448084</v>
      </c>
      <c r="L54" s="72">
        <f t="shared" si="43"/>
        <v>704.63450131356387</v>
      </c>
      <c r="M54" s="72">
        <f t="shared" si="43"/>
        <v>698.4832233234589</v>
      </c>
      <c r="N54" s="72">
        <f t="shared" si="43"/>
        <v>665.66827787589523</v>
      </c>
      <c r="O54" s="72">
        <f t="shared" si="43"/>
        <v>647.42540742594531</v>
      </c>
      <c r="P54" s="72">
        <f t="shared" si="43"/>
        <v>606.93534774155944</v>
      </c>
      <c r="Q54" s="72">
        <f t="shared" si="43"/>
        <v>568.4229136929107</v>
      </c>
      <c r="R54" s="72">
        <f t="shared" si="43"/>
        <v>532.66232845108505</v>
      </c>
    </row>
    <row r="55" spans="1:86" s="52" customFormat="1" x14ac:dyDescent="0.25">
      <c r="A55" s="1"/>
      <c r="B55" s="26"/>
      <c r="C55" s="26"/>
      <c r="D55" s="26"/>
      <c r="E55" s="26"/>
      <c r="F55" s="26"/>
      <c r="G55" s="26"/>
      <c r="H55" s="26"/>
      <c r="I55" s="73"/>
      <c r="J55" s="1"/>
      <c r="K55" s="1"/>
      <c r="L55" s="1"/>
      <c r="M55" s="1"/>
      <c r="N55" s="1"/>
      <c r="O55" s="1"/>
      <c r="P55" s="1"/>
      <c r="Q55" s="1"/>
      <c r="R55" s="1"/>
    </row>
    <row r="56" spans="1:86" s="52" customFormat="1" x14ac:dyDescent="0.25">
      <c r="A56" s="1"/>
      <c r="B56" s="1" t="s">
        <v>27</v>
      </c>
      <c r="C56" s="27">
        <f>(R53*(1+$E$6))/($E$5-$E$6)</f>
        <v>16872.769100204361</v>
      </c>
      <c r="D56" s="1"/>
      <c r="E56" s="1" t="s">
        <v>28</v>
      </c>
      <c r="F56" s="18">
        <f>NPV($E$5,I51:CH51)</f>
        <v>12178.856130272912</v>
      </c>
      <c r="G56" s="1"/>
      <c r="H56" s="1"/>
      <c r="I56" s="15"/>
      <c r="J56" s="1"/>
      <c r="K56" s="1"/>
      <c r="L56" s="1"/>
      <c r="M56" s="1"/>
      <c r="N56" s="1"/>
      <c r="O56" s="1"/>
      <c r="P56" s="1"/>
      <c r="Q56" s="1"/>
      <c r="R56" s="2"/>
    </row>
    <row r="57" spans="1:86" s="52" customFormat="1" x14ac:dyDescent="0.25">
      <c r="A57" s="1"/>
      <c r="B57" s="3" t="s">
        <v>29</v>
      </c>
      <c r="C57" s="28">
        <f>C56/((1+$E$5)^$R$9)</f>
        <v>5427.7648730504552</v>
      </c>
      <c r="D57" s="16"/>
      <c r="E57" s="3"/>
      <c r="F57" s="3"/>
      <c r="G57" s="3"/>
      <c r="H57" s="16"/>
      <c r="I57" s="12"/>
      <c r="J57" s="1"/>
      <c r="K57" s="2"/>
      <c r="L57" s="88" t="s">
        <v>54</v>
      </c>
      <c r="M57" s="88"/>
      <c r="N57" s="88"/>
      <c r="O57" s="88"/>
      <c r="P57" s="88"/>
      <c r="Q57" s="88"/>
      <c r="R57" s="2"/>
    </row>
    <row r="58" spans="1:86" x14ac:dyDescent="0.25">
      <c r="A58" s="1"/>
      <c r="B58" s="6" t="s">
        <v>30</v>
      </c>
      <c r="C58" s="6"/>
      <c r="D58" s="1"/>
      <c r="E58" s="6"/>
      <c r="F58" s="6"/>
      <c r="G58" s="29" t="s">
        <v>31</v>
      </c>
      <c r="H58" s="29" t="s">
        <v>28</v>
      </c>
      <c r="I58" s="15"/>
      <c r="J58" s="1"/>
      <c r="K58" s="55"/>
      <c r="L58" s="60">
        <f>E64</f>
        <v>53.402934144085592</v>
      </c>
      <c r="M58" s="81">
        <v>-0.01</v>
      </c>
      <c r="N58" s="81">
        <v>0.01</v>
      </c>
      <c r="O58" s="81">
        <v>0.02</v>
      </c>
      <c r="P58" s="81">
        <v>0.03</v>
      </c>
      <c r="Q58" s="81">
        <v>0.04</v>
      </c>
    </row>
    <row r="59" spans="1:86" x14ac:dyDescent="0.25">
      <c r="A59" s="1"/>
      <c r="B59" s="30" t="s">
        <v>32</v>
      </c>
      <c r="C59" s="1"/>
      <c r="D59" s="23">
        <v>1046</v>
      </c>
      <c r="E59" s="1"/>
      <c r="F59" s="1"/>
      <c r="G59" s="27">
        <f>C57+SUM(I54:R54)</f>
        <v>11996.493576006462</v>
      </c>
      <c r="H59" s="18">
        <f>F56</f>
        <v>12178.856130272912</v>
      </c>
      <c r="I59" s="15"/>
      <c r="K59" s="55"/>
      <c r="L59" s="57">
        <f>L60-1%</f>
        <v>9.1077135070908435E-2</v>
      </c>
      <c r="M59" s="61">
        <f t="dataTable" ref="M59:Q63" dt2D="1" dtr="1" r1="E6" r2="E5"/>
        <v>63.817059247751118</v>
      </c>
      <c r="N59" s="61">
        <v>72.000577052182052</v>
      </c>
      <c r="O59" s="61">
        <v>77.747960969387918</v>
      </c>
      <c r="P59" s="61">
        <v>85.249505212121463</v>
      </c>
      <c r="Q59" s="61">
        <v>95.394668587608493</v>
      </c>
    </row>
    <row r="60" spans="1:86" x14ac:dyDescent="0.25">
      <c r="A60" s="1"/>
      <c r="B60" s="31" t="s">
        <v>33</v>
      </c>
      <c r="C60" s="3"/>
      <c r="D60" s="86">
        <f>1277-426</f>
        <v>851</v>
      </c>
      <c r="E60" s="3"/>
      <c r="F60" s="3"/>
      <c r="G60" s="3"/>
      <c r="H60" s="3"/>
      <c r="I60" s="15"/>
      <c r="K60" s="56"/>
      <c r="L60" s="57">
        <f>L61-1%</f>
        <v>0.10107713507090843</v>
      </c>
      <c r="M60" s="61">
        <v>57.081268094528212</v>
      </c>
      <c r="N60" s="62">
        <v>63.21382057210829</v>
      </c>
      <c r="O60" s="62">
        <v>67.383946000872783</v>
      </c>
      <c r="P60" s="62">
        <v>72.67355558743759</v>
      </c>
      <c r="Q60" s="61">
        <v>79.574707561276199</v>
      </c>
      <c r="R60" s="48"/>
    </row>
    <row r="61" spans="1:86" x14ac:dyDescent="0.25">
      <c r="A61" s="1"/>
      <c r="B61" s="6" t="s">
        <v>34</v>
      </c>
      <c r="C61" s="6"/>
      <c r="D61" s="6"/>
      <c r="E61" s="6"/>
      <c r="F61" s="6"/>
      <c r="G61" s="32">
        <f>G59+D59-D60</f>
        <v>12191.493576006462</v>
      </c>
      <c r="H61" s="33">
        <f>H59+D59-D60</f>
        <v>12373.856130272912</v>
      </c>
      <c r="I61" s="15"/>
      <c r="K61" s="55" t="s">
        <v>1</v>
      </c>
      <c r="L61" s="57">
        <v>0.11107713507090843</v>
      </c>
      <c r="M61" s="61">
        <v>51.51102634110363</v>
      </c>
      <c r="N61" s="62">
        <v>56.195866610219539</v>
      </c>
      <c r="O61" s="63">
        <v>59.296345821246383</v>
      </c>
      <c r="P61" s="62">
        <v>63.138293659865099</v>
      </c>
      <c r="Q61" s="61">
        <v>68.010124974286796</v>
      </c>
    </row>
    <row r="62" spans="1:86" x14ac:dyDescent="0.25">
      <c r="A62" s="1"/>
      <c r="B62" s="3" t="s">
        <v>35</v>
      </c>
      <c r="C62" s="3"/>
      <c r="D62" s="38">
        <v>230</v>
      </c>
      <c r="E62" s="3"/>
      <c r="F62" s="3"/>
      <c r="G62" s="3"/>
      <c r="H62" s="34"/>
      <c r="I62" s="15"/>
      <c r="K62" s="55"/>
      <c r="L62" s="58">
        <f>L61+0.5%</f>
        <v>0.11607713507090843</v>
      </c>
      <c r="M62" s="61">
        <v>49.075808936706146</v>
      </c>
      <c r="N62" s="62">
        <v>53.196360001933563</v>
      </c>
      <c r="O62" s="62">
        <v>55.890929647187654</v>
      </c>
      <c r="P62" s="62">
        <v>59.196084341344147</v>
      </c>
      <c r="Q62" s="61">
        <v>63.336446078961302</v>
      </c>
    </row>
    <row r="63" spans="1:86" x14ac:dyDescent="0.25">
      <c r="A63" s="1"/>
      <c r="B63" s="17" t="s">
        <v>36</v>
      </c>
      <c r="C63" s="17"/>
      <c r="D63" s="64">
        <f>D62*$J$5</f>
        <v>8625</v>
      </c>
      <c r="E63" s="17"/>
      <c r="F63" s="17"/>
      <c r="G63" s="17"/>
      <c r="H63" s="35"/>
      <c r="I63" s="1"/>
      <c r="K63" s="55"/>
      <c r="L63" s="58">
        <f>L62+0.5%</f>
        <v>0.12107713507090843</v>
      </c>
      <c r="M63" s="61">
        <v>46.837879413951754</v>
      </c>
      <c r="N63" s="61">
        <v>50.47585352707614</v>
      </c>
      <c r="O63" s="61">
        <v>52.828668066186268</v>
      </c>
      <c r="P63" s="61">
        <v>55.687811526749563</v>
      </c>
      <c r="Q63" s="61">
        <v>59.229938837106261</v>
      </c>
    </row>
    <row r="64" spans="1:86" x14ac:dyDescent="0.25">
      <c r="A64" s="1"/>
      <c r="B64" s="6" t="s">
        <v>37</v>
      </c>
      <c r="D64" s="6" t="s">
        <v>38</v>
      </c>
      <c r="E64" s="36">
        <f>(G64+H64)/2</f>
        <v>53.402934144085592</v>
      </c>
      <c r="F64" s="6"/>
      <c r="G64" s="36">
        <f>G61/D62</f>
        <v>53.006493808723746</v>
      </c>
      <c r="H64" s="37">
        <f>H61/D62</f>
        <v>53.799374479447444</v>
      </c>
      <c r="I64" s="15"/>
    </row>
    <row r="65" spans="2:9" x14ac:dyDescent="0.25">
      <c r="B65" s="41"/>
      <c r="C65" s="41"/>
      <c r="D65" s="41"/>
      <c r="E65" s="41"/>
      <c r="F65" s="41"/>
      <c r="G65" s="41"/>
      <c r="H65" s="41"/>
      <c r="I65" s="22"/>
    </row>
  </sheetData>
  <sortState xmlns:xlrd2="http://schemas.microsoft.com/office/spreadsheetml/2017/richdata2" columnSort="1" ref="C10:H54">
    <sortCondition ref="C10:H10"/>
  </sortState>
  <mergeCells count="1">
    <mergeCell ref="L57:Q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2C1-E9E6-434A-8083-644F8C7C2221}">
  <dimension ref="A1:U26"/>
  <sheetViews>
    <sheetView workbookViewId="0">
      <selection activeCell="F17" sqref="F17"/>
    </sheetView>
  </sheetViews>
  <sheetFormatPr defaultRowHeight="15" x14ac:dyDescent="0.25"/>
  <cols>
    <col min="10" max="10" width="25.28515625" customWidth="1"/>
  </cols>
  <sheetData>
    <row r="1" spans="1:21" x14ac:dyDescent="0.25">
      <c r="A1" s="89" t="s">
        <v>64</v>
      </c>
      <c r="B1" s="89"/>
      <c r="C1" s="89"/>
      <c r="D1" s="89"/>
      <c r="E1" s="89"/>
      <c r="F1" s="89"/>
      <c r="J1" s="89" t="s">
        <v>121</v>
      </c>
      <c r="K1" s="89"/>
      <c r="L1" s="89"/>
      <c r="M1" s="89"/>
      <c r="N1" s="89"/>
      <c r="O1" s="89"/>
    </row>
    <row r="3" spans="1:21" x14ac:dyDescent="0.25"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</row>
    <row r="4" spans="1:21" x14ac:dyDescent="0.25">
      <c r="A4" s="90"/>
      <c r="B4" s="90"/>
      <c r="C4" s="90"/>
      <c r="D4" s="99">
        <v>2020</v>
      </c>
      <c r="E4" s="99">
        <v>2021</v>
      </c>
      <c r="F4" s="99">
        <v>2022</v>
      </c>
      <c r="G4" s="99"/>
    </row>
    <row r="5" spans="1:21" x14ac:dyDescent="0.25">
      <c r="A5" s="89" t="s">
        <v>65</v>
      </c>
      <c r="B5" s="89"/>
      <c r="C5" s="89"/>
      <c r="D5" s="97">
        <v>6434</v>
      </c>
      <c r="E5" s="97">
        <v>7882</v>
      </c>
      <c r="F5" s="97">
        <v>7560</v>
      </c>
      <c r="G5" s="97"/>
      <c r="K5" s="99" t="s">
        <v>60</v>
      </c>
      <c r="L5" s="99" t="s">
        <v>61</v>
      </c>
      <c r="M5" s="99" t="s">
        <v>62</v>
      </c>
      <c r="N5" s="99"/>
      <c r="O5" s="99"/>
      <c r="P5" s="94"/>
      <c r="Q5" s="99"/>
      <c r="R5" s="99"/>
      <c r="T5" s="99"/>
      <c r="U5" s="99"/>
    </row>
    <row r="6" spans="1:21" x14ac:dyDescent="0.25">
      <c r="A6" s="89" t="s">
        <v>66</v>
      </c>
      <c r="B6" s="89"/>
      <c r="C6" s="89"/>
      <c r="D6" s="96">
        <v>-3338</v>
      </c>
      <c r="E6" s="96">
        <v>-4027</v>
      </c>
      <c r="F6" s="96">
        <v>-4305</v>
      </c>
      <c r="G6" s="96"/>
      <c r="J6" t="s">
        <v>65</v>
      </c>
      <c r="K6" s="104">
        <v>12632</v>
      </c>
      <c r="L6" s="104">
        <v>13237</v>
      </c>
      <c r="M6" s="104">
        <v>12914</v>
      </c>
      <c r="N6" s="104"/>
      <c r="O6" s="94"/>
      <c r="P6" s="94"/>
      <c r="Q6" s="104"/>
      <c r="R6" s="94"/>
      <c r="T6" s="104"/>
    </row>
    <row r="7" spans="1:21" x14ac:dyDescent="0.25">
      <c r="A7" s="89" t="s">
        <v>10</v>
      </c>
      <c r="B7" s="89"/>
      <c r="C7" s="89"/>
      <c r="D7" s="98">
        <v>3096</v>
      </c>
      <c r="E7" s="98">
        <v>3855</v>
      </c>
      <c r="F7" s="98">
        <v>3255</v>
      </c>
      <c r="G7" s="98"/>
      <c r="J7" t="s">
        <v>66</v>
      </c>
      <c r="K7" s="105">
        <v>-7673</v>
      </c>
      <c r="L7" s="105">
        <v>-8338</v>
      </c>
      <c r="M7" s="105">
        <v>-8464</v>
      </c>
      <c r="N7" s="105"/>
      <c r="Q7" s="105"/>
      <c r="R7" s="94"/>
      <c r="T7" s="105"/>
    </row>
    <row r="8" spans="1:21" x14ac:dyDescent="0.25">
      <c r="A8" s="89" t="s">
        <v>67</v>
      </c>
      <c r="B8" s="89"/>
      <c r="C8" s="89"/>
      <c r="D8" s="96">
        <v>-1492</v>
      </c>
      <c r="E8" s="96">
        <v>-1846</v>
      </c>
      <c r="F8" s="96">
        <v>-1879</v>
      </c>
      <c r="G8" s="96"/>
      <c r="J8" t="s">
        <v>10</v>
      </c>
      <c r="K8" s="102">
        <v>4959</v>
      </c>
      <c r="L8" s="102">
        <v>4899</v>
      </c>
      <c r="M8" s="102">
        <v>4450</v>
      </c>
      <c r="N8" s="102"/>
      <c r="O8" s="94"/>
      <c r="P8" s="94"/>
      <c r="Q8" s="102"/>
      <c r="R8" s="94"/>
      <c r="T8" s="102"/>
    </row>
    <row r="9" spans="1:21" x14ac:dyDescent="0.25">
      <c r="A9" s="89" t="s">
        <v>68</v>
      </c>
      <c r="B9" s="89"/>
      <c r="C9" s="89"/>
      <c r="D9" s="98">
        <v>1604</v>
      </c>
      <c r="E9" s="98">
        <v>2009</v>
      </c>
      <c r="F9" s="98">
        <v>1376</v>
      </c>
      <c r="G9" s="98"/>
      <c r="J9" t="s">
        <v>67</v>
      </c>
      <c r="K9" s="105">
        <v>-3231</v>
      </c>
      <c r="L9" s="105">
        <v>-3563</v>
      </c>
      <c r="M9" s="105">
        <v>-3472</v>
      </c>
      <c r="N9" s="105"/>
      <c r="Q9" s="105"/>
      <c r="R9" s="94"/>
      <c r="T9" s="105"/>
    </row>
    <row r="10" spans="1:21" x14ac:dyDescent="0.25">
      <c r="A10" s="89" t="s">
        <v>69</v>
      </c>
      <c r="B10" s="89"/>
      <c r="C10" s="89"/>
      <c r="D10" s="96">
        <v>-432</v>
      </c>
      <c r="E10" s="96">
        <v>-388</v>
      </c>
      <c r="F10" s="96">
        <v>-348</v>
      </c>
      <c r="G10" s="96"/>
      <c r="J10" t="s">
        <v>122</v>
      </c>
      <c r="K10" s="94" t="s">
        <v>58</v>
      </c>
      <c r="L10" s="94" t="s">
        <v>58</v>
      </c>
      <c r="M10" s="105">
        <v>-720</v>
      </c>
      <c r="N10" s="105"/>
      <c r="O10" s="94"/>
      <c r="P10" s="94"/>
      <c r="Q10" s="94"/>
      <c r="R10" s="94"/>
      <c r="T10" s="94"/>
    </row>
    <row r="11" spans="1:21" x14ac:dyDescent="0.25">
      <c r="A11" s="89" t="s">
        <v>70</v>
      </c>
      <c r="B11" s="89"/>
      <c r="C11" s="89"/>
      <c r="D11" s="96">
        <v>-50</v>
      </c>
      <c r="E11" s="96">
        <v>-198</v>
      </c>
      <c r="F11" s="98">
        <v>17</v>
      </c>
      <c r="G11" s="98"/>
      <c r="J11" t="s">
        <v>123</v>
      </c>
      <c r="K11" s="94" t="s">
        <v>58</v>
      </c>
      <c r="L11" s="105">
        <v>-99</v>
      </c>
      <c r="M11" s="94" t="s">
        <v>58</v>
      </c>
      <c r="N11" s="94"/>
      <c r="Q11" s="105"/>
      <c r="R11" s="94"/>
      <c r="T11" s="94"/>
    </row>
    <row r="12" spans="1:21" x14ac:dyDescent="0.25">
      <c r="A12" s="89" t="s">
        <v>71</v>
      </c>
      <c r="B12" s="89"/>
      <c r="C12" s="89"/>
      <c r="D12" s="98">
        <v>1122</v>
      </c>
      <c r="E12" s="98">
        <v>1423</v>
      </c>
      <c r="F12" s="98">
        <v>1045</v>
      </c>
      <c r="G12" s="98"/>
      <c r="J12" t="s">
        <v>68</v>
      </c>
      <c r="K12" s="102">
        <v>1728</v>
      </c>
      <c r="L12" s="102">
        <v>1237</v>
      </c>
      <c r="M12" s="102">
        <v>258</v>
      </c>
      <c r="N12" s="102"/>
      <c r="O12" s="94"/>
      <c r="P12" s="94"/>
      <c r="Q12" s="102"/>
      <c r="R12" s="94"/>
      <c r="T12" s="102"/>
    </row>
    <row r="13" spans="1:21" x14ac:dyDescent="0.25">
      <c r="A13" s="89" t="s">
        <v>72</v>
      </c>
      <c r="B13" s="89"/>
      <c r="C13" s="89"/>
      <c r="D13" s="98">
        <v>257</v>
      </c>
      <c r="E13" s="98">
        <v>348</v>
      </c>
      <c r="F13" s="98">
        <v>251</v>
      </c>
      <c r="G13" s="98"/>
      <c r="J13" t="s">
        <v>69</v>
      </c>
      <c r="K13" s="105">
        <v>-406</v>
      </c>
      <c r="L13" s="105">
        <v>-385</v>
      </c>
      <c r="M13" s="105">
        <v>-378</v>
      </c>
      <c r="N13" s="105"/>
      <c r="Q13" s="105"/>
      <c r="R13" s="94"/>
      <c r="T13" s="105"/>
    </row>
    <row r="14" spans="1:21" x14ac:dyDescent="0.25">
      <c r="A14" s="89" t="s">
        <v>73</v>
      </c>
      <c r="B14" s="89"/>
      <c r="C14" s="89"/>
      <c r="D14" s="98">
        <v>865</v>
      </c>
      <c r="E14" s="98">
        <v>1075</v>
      </c>
      <c r="F14" s="98">
        <v>794</v>
      </c>
      <c r="G14" s="98"/>
      <c r="J14" t="s">
        <v>70</v>
      </c>
      <c r="K14" s="105">
        <v>-10</v>
      </c>
      <c r="L14" s="102">
        <v>5</v>
      </c>
      <c r="M14" s="105">
        <v>-61</v>
      </c>
      <c r="N14" s="105"/>
      <c r="O14" s="94"/>
      <c r="P14" s="94"/>
      <c r="Q14" s="102"/>
      <c r="R14" s="94"/>
      <c r="T14" s="105"/>
    </row>
    <row r="15" spans="1:21" x14ac:dyDescent="0.25">
      <c r="A15" s="89" t="s">
        <v>74</v>
      </c>
      <c r="B15" s="89"/>
      <c r="C15" s="89"/>
      <c r="D15" s="96">
        <v>-21</v>
      </c>
      <c r="E15" s="98">
        <v>258</v>
      </c>
      <c r="F15" s="98">
        <v>6</v>
      </c>
      <c r="G15" s="98"/>
      <c r="J15" t="s">
        <v>124</v>
      </c>
      <c r="K15" s="102">
        <v>1312</v>
      </c>
      <c r="L15" s="102">
        <v>857</v>
      </c>
      <c r="M15" s="105">
        <v>-181</v>
      </c>
      <c r="N15" s="105"/>
      <c r="Q15" s="102"/>
      <c r="R15" s="94"/>
      <c r="T15" s="102"/>
    </row>
    <row r="16" spans="1:21" x14ac:dyDescent="0.25">
      <c r="A16" s="89" t="s">
        <v>75</v>
      </c>
      <c r="B16" s="89"/>
      <c r="C16" s="89"/>
      <c r="D16" s="97">
        <v>844</v>
      </c>
      <c r="E16" s="97">
        <v>1333</v>
      </c>
      <c r="F16" s="97">
        <v>800</v>
      </c>
      <c r="G16" s="97"/>
      <c r="J16" t="s">
        <v>72</v>
      </c>
      <c r="K16" s="102">
        <v>329</v>
      </c>
      <c r="L16" s="102">
        <v>213</v>
      </c>
      <c r="M16" s="102">
        <v>185</v>
      </c>
      <c r="N16" s="102"/>
      <c r="O16" s="94"/>
      <c r="P16" s="94"/>
      <c r="Q16" s="102"/>
      <c r="R16" s="94"/>
      <c r="T16" s="102"/>
    </row>
    <row r="17" spans="1:20" x14ac:dyDescent="0.25">
      <c r="A17" s="90"/>
      <c r="B17" s="90"/>
      <c r="C17" s="90"/>
      <c r="D17" s="94"/>
      <c r="E17" s="94"/>
      <c r="F17" s="94"/>
      <c r="G17" s="94"/>
      <c r="J17" t="s">
        <v>125</v>
      </c>
      <c r="K17" s="104">
        <v>983</v>
      </c>
      <c r="L17" s="104">
        <v>644</v>
      </c>
      <c r="M17" s="103">
        <v>-366</v>
      </c>
      <c r="N17" s="103"/>
      <c r="Q17" s="104"/>
      <c r="R17" s="94"/>
      <c r="S17" s="94"/>
      <c r="T17" s="104"/>
    </row>
    <row r="18" spans="1:20" x14ac:dyDescent="0.25">
      <c r="A18" s="89" t="s">
        <v>76</v>
      </c>
      <c r="B18" s="89"/>
      <c r="C18" s="89"/>
      <c r="D18" s="94"/>
      <c r="E18" s="94"/>
      <c r="F18" s="94"/>
      <c r="G18" s="94"/>
      <c r="J18" t="s">
        <v>126</v>
      </c>
      <c r="K18" s="101">
        <v>3.46</v>
      </c>
      <c r="L18" s="101">
        <v>2.33</v>
      </c>
      <c r="M18" s="100">
        <v>-1.33</v>
      </c>
      <c r="N18" s="100"/>
      <c r="O18" s="94"/>
      <c r="P18" s="94"/>
      <c r="Q18" s="101"/>
      <c r="R18" s="94"/>
      <c r="S18" s="94"/>
      <c r="T18" s="101"/>
    </row>
    <row r="19" spans="1:20" ht="30" customHeight="1" x14ac:dyDescent="0.25">
      <c r="A19" s="89" t="s">
        <v>77</v>
      </c>
      <c r="B19" s="89"/>
      <c r="C19" s="89"/>
      <c r="D19" s="93">
        <v>3.11</v>
      </c>
      <c r="E19" s="93">
        <v>4</v>
      </c>
      <c r="F19" s="93">
        <v>3.43</v>
      </c>
      <c r="G19" s="93"/>
      <c r="J19" t="s">
        <v>127</v>
      </c>
      <c r="K19" s="101">
        <v>3.42</v>
      </c>
      <c r="L19" s="101">
        <v>2.31</v>
      </c>
      <c r="M19" s="100">
        <v>-1.33</v>
      </c>
      <c r="N19" s="100"/>
      <c r="Q19" s="101"/>
      <c r="R19" s="94"/>
      <c r="T19" s="101"/>
    </row>
    <row r="20" spans="1:20" x14ac:dyDescent="0.25">
      <c r="A20" s="89" t="s">
        <v>78</v>
      </c>
      <c r="B20" s="89"/>
      <c r="C20" s="89"/>
      <c r="D20" s="92">
        <v>-7.0000000000000021E-2</v>
      </c>
      <c r="E20" s="95">
        <v>0.96</v>
      </c>
      <c r="F20" s="95">
        <v>0.03</v>
      </c>
      <c r="G20" s="95"/>
    </row>
    <row r="21" spans="1:20" x14ac:dyDescent="0.25">
      <c r="A21" s="89" t="s">
        <v>79</v>
      </c>
      <c r="B21" s="89"/>
      <c r="C21" s="89"/>
      <c r="D21" s="93">
        <v>3.04</v>
      </c>
      <c r="E21" s="93">
        <v>4.96</v>
      </c>
      <c r="F21" s="93">
        <v>3.45</v>
      </c>
      <c r="G21" s="93"/>
    </row>
    <row r="22" spans="1:20" x14ac:dyDescent="0.25">
      <c r="A22" s="90"/>
      <c r="B22" s="90"/>
      <c r="C22" s="90"/>
      <c r="D22" s="94"/>
      <c r="E22" s="94"/>
      <c r="F22" s="94"/>
      <c r="G22" s="94"/>
    </row>
    <row r="23" spans="1:20" x14ac:dyDescent="0.25">
      <c r="A23" s="89" t="s">
        <v>80</v>
      </c>
      <c r="B23" s="89"/>
      <c r="C23" s="89"/>
      <c r="D23" s="94"/>
      <c r="E23" s="94"/>
      <c r="F23" s="94"/>
      <c r="G23" s="94"/>
    </row>
    <row r="24" spans="1:20" x14ac:dyDescent="0.25">
      <c r="A24" s="89" t="s">
        <v>77</v>
      </c>
      <c r="B24" s="89"/>
      <c r="C24" s="89"/>
      <c r="D24" s="93">
        <v>3.07</v>
      </c>
      <c r="E24" s="93">
        <v>3.94</v>
      </c>
      <c r="F24" s="93">
        <v>3.4</v>
      </c>
      <c r="G24" s="93"/>
    </row>
    <row r="25" spans="1:20" x14ac:dyDescent="0.25">
      <c r="A25" s="89" t="s">
        <v>78</v>
      </c>
      <c r="B25" s="89"/>
      <c r="C25" s="89"/>
      <c r="D25" s="92">
        <v>-7.0000000000000021E-2</v>
      </c>
      <c r="E25" s="95">
        <v>0.95</v>
      </c>
      <c r="F25" s="95">
        <v>0.03</v>
      </c>
      <c r="G25" s="95"/>
    </row>
    <row r="26" spans="1:20" x14ac:dyDescent="0.25">
      <c r="A26" s="89" t="s">
        <v>81</v>
      </c>
      <c r="B26" s="89"/>
      <c r="C26" s="89"/>
      <c r="D26" s="93">
        <v>3</v>
      </c>
      <c r="E26" s="93">
        <v>4.88</v>
      </c>
      <c r="F26" s="93">
        <v>3.43</v>
      </c>
      <c r="G26" s="93"/>
    </row>
  </sheetData>
  <sortState xmlns:xlrd2="http://schemas.microsoft.com/office/spreadsheetml/2017/richdata2" columnSort="1" ref="K5:U19">
    <sortCondition ref="K5:U5"/>
  </sortState>
  <mergeCells count="26">
    <mergeCell ref="J1:O1"/>
    <mergeCell ref="J3:U3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A17:C17"/>
    <mergeCell ref="A16:C16"/>
    <mergeCell ref="A15:C15"/>
    <mergeCell ref="A14:C14"/>
    <mergeCell ref="A13:C13"/>
    <mergeCell ref="A12:C12"/>
    <mergeCell ref="A11:C11"/>
    <mergeCell ref="A10:C10"/>
    <mergeCell ref="A9:C9"/>
    <mergeCell ref="A8:C8"/>
    <mergeCell ref="A7:C7"/>
    <mergeCell ref="A6:C6"/>
    <mergeCell ref="A1:F1"/>
    <mergeCell ref="A4:C4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:T60"/>
  <sheetViews>
    <sheetView topLeftCell="A10" workbookViewId="0">
      <selection activeCell="F12" sqref="F12"/>
    </sheetView>
  </sheetViews>
  <sheetFormatPr defaultRowHeight="15" x14ac:dyDescent="0.25"/>
  <cols>
    <col min="9" max="9" width="37.7109375" customWidth="1"/>
  </cols>
  <sheetData>
    <row r="1" spans="1:20" x14ac:dyDescent="0.25">
      <c r="A1" s="89" t="s">
        <v>51</v>
      </c>
      <c r="B1" s="89"/>
      <c r="C1" s="89"/>
      <c r="D1" s="89"/>
      <c r="E1" s="89"/>
      <c r="F1" s="89"/>
      <c r="I1" s="89" t="s">
        <v>51</v>
      </c>
      <c r="J1" s="89"/>
      <c r="K1" s="89"/>
      <c r="L1" s="89"/>
      <c r="M1" s="89"/>
      <c r="N1" s="89"/>
    </row>
    <row r="3" spans="1:20" x14ac:dyDescent="0.25"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</row>
    <row r="4" spans="1:20" x14ac:dyDescent="0.25">
      <c r="A4" s="90"/>
      <c r="B4" s="90"/>
      <c r="C4" s="90"/>
      <c r="D4" s="99" t="s">
        <v>57</v>
      </c>
      <c r="E4" s="99" t="s">
        <v>56</v>
      </c>
      <c r="F4" s="99" t="s">
        <v>55</v>
      </c>
      <c r="G4" s="99"/>
    </row>
    <row r="5" spans="1:20" x14ac:dyDescent="0.25">
      <c r="A5" s="89" t="s">
        <v>82</v>
      </c>
      <c r="B5" s="89"/>
      <c r="C5" s="89"/>
      <c r="D5" s="94"/>
      <c r="E5" s="94"/>
      <c r="F5" s="94"/>
      <c r="G5" s="94"/>
      <c r="J5" s="99" t="s">
        <v>60</v>
      </c>
      <c r="K5" s="99" t="s">
        <v>61</v>
      </c>
      <c r="L5" s="99" t="s">
        <v>62</v>
      </c>
      <c r="M5" s="99"/>
      <c r="N5" s="99"/>
      <c r="O5" s="94"/>
      <c r="P5" s="99"/>
      <c r="Q5" s="99"/>
      <c r="R5" s="94"/>
      <c r="S5" s="99"/>
      <c r="T5" s="99"/>
    </row>
    <row r="6" spans="1:20" x14ac:dyDescent="0.25">
      <c r="A6" s="89" t="s">
        <v>75</v>
      </c>
      <c r="B6" s="89"/>
      <c r="C6" s="89"/>
      <c r="D6" s="97">
        <v>844</v>
      </c>
      <c r="E6" s="97">
        <v>1333</v>
      </c>
      <c r="F6" s="97">
        <v>800</v>
      </c>
      <c r="G6" s="97"/>
      <c r="I6" s="82" t="s">
        <v>82</v>
      </c>
      <c r="J6" s="94"/>
      <c r="K6" s="94"/>
      <c r="L6" s="94"/>
      <c r="M6" s="94"/>
      <c r="N6" s="94"/>
      <c r="O6" s="94"/>
      <c r="P6" s="94"/>
      <c r="Q6" s="94"/>
      <c r="S6" s="94"/>
      <c r="T6" s="94"/>
    </row>
    <row r="7" spans="1:20" x14ac:dyDescent="0.25">
      <c r="A7" s="89" t="s">
        <v>83</v>
      </c>
      <c r="B7" s="89"/>
      <c r="C7" s="89"/>
      <c r="D7" s="94"/>
      <c r="E7" s="94"/>
      <c r="F7" s="94"/>
      <c r="G7" s="94"/>
      <c r="I7" t="s">
        <v>125</v>
      </c>
      <c r="J7" s="104">
        <v>983</v>
      </c>
      <c r="K7" s="104">
        <v>644</v>
      </c>
      <c r="L7" s="103">
        <v>-366</v>
      </c>
      <c r="M7" s="103"/>
      <c r="P7" s="104"/>
      <c r="Q7" s="94"/>
      <c r="R7" s="94"/>
      <c r="S7" s="104"/>
    </row>
    <row r="8" spans="1:20" x14ac:dyDescent="0.25">
      <c r="A8" s="89" t="s">
        <v>84</v>
      </c>
      <c r="B8" s="89"/>
      <c r="C8" s="89"/>
      <c r="D8" s="98">
        <v>521</v>
      </c>
      <c r="E8" s="98">
        <v>363</v>
      </c>
      <c r="F8" s="98">
        <v>221</v>
      </c>
      <c r="G8" s="98"/>
      <c r="I8" t="s">
        <v>128</v>
      </c>
      <c r="J8" s="94"/>
      <c r="K8" s="94"/>
      <c r="L8" s="94"/>
      <c r="M8" s="94"/>
      <c r="N8" s="94"/>
      <c r="O8" s="94"/>
      <c r="P8" s="94"/>
      <c r="Q8" s="94"/>
      <c r="S8" s="94"/>
      <c r="T8" s="94"/>
    </row>
    <row r="9" spans="1:20" x14ac:dyDescent="0.25">
      <c r="A9" s="89" t="s">
        <v>85</v>
      </c>
      <c r="B9" s="89"/>
      <c r="C9" s="89"/>
      <c r="D9" s="98">
        <v>53</v>
      </c>
      <c r="E9" s="98">
        <v>195</v>
      </c>
      <c r="F9" s="99" t="s">
        <v>58</v>
      </c>
      <c r="G9" s="99"/>
      <c r="I9" t="s">
        <v>84</v>
      </c>
      <c r="J9" s="102">
        <v>571</v>
      </c>
      <c r="K9" s="102">
        <v>590</v>
      </c>
      <c r="L9" s="102">
        <v>588</v>
      </c>
      <c r="M9" s="102"/>
      <c r="P9" s="102"/>
      <c r="Q9" s="94"/>
      <c r="S9" s="102"/>
    </row>
    <row r="10" spans="1:20" x14ac:dyDescent="0.25">
      <c r="A10" s="89" t="s">
        <v>86</v>
      </c>
      <c r="B10" s="89"/>
      <c r="C10" s="89"/>
      <c r="D10" s="98">
        <v>50</v>
      </c>
      <c r="E10" s="98">
        <v>46</v>
      </c>
      <c r="F10" s="98">
        <v>38</v>
      </c>
      <c r="G10" s="98"/>
      <c r="I10" t="s">
        <v>129</v>
      </c>
      <c r="J10" s="105">
        <v>-47</v>
      </c>
      <c r="K10" s="105">
        <v>-43</v>
      </c>
      <c r="L10" s="94" t="s">
        <v>58</v>
      </c>
      <c r="M10" s="94"/>
      <c r="N10" s="94"/>
      <c r="O10" s="94"/>
      <c r="P10" s="105"/>
      <c r="Q10" s="94"/>
      <c r="S10" s="105"/>
    </row>
    <row r="11" spans="1:20" x14ac:dyDescent="0.25">
      <c r="A11" s="89" t="s">
        <v>87</v>
      </c>
      <c r="B11" s="89"/>
      <c r="C11" s="89"/>
      <c r="D11" s="98">
        <v>33</v>
      </c>
      <c r="E11" s="98">
        <v>45</v>
      </c>
      <c r="F11" s="98">
        <v>17</v>
      </c>
      <c r="G11" s="98"/>
      <c r="I11" t="s">
        <v>86</v>
      </c>
      <c r="J11" s="102">
        <v>102</v>
      </c>
      <c r="K11" s="102">
        <v>97</v>
      </c>
      <c r="L11" s="102">
        <v>87</v>
      </c>
      <c r="M11" s="102"/>
      <c r="P11" s="102"/>
      <c r="Q11" s="94"/>
      <c r="S11" s="102"/>
    </row>
    <row r="12" spans="1:20" x14ac:dyDescent="0.25">
      <c r="A12" s="89" t="s">
        <v>88</v>
      </c>
      <c r="B12" s="89"/>
      <c r="C12" s="89"/>
      <c r="D12" s="98">
        <v>254</v>
      </c>
      <c r="E12" s="99" t="s">
        <v>58</v>
      </c>
      <c r="F12" s="99" t="s">
        <v>58</v>
      </c>
      <c r="G12" s="99"/>
      <c r="I12" t="s">
        <v>87</v>
      </c>
      <c r="J12" s="105">
        <v>-108</v>
      </c>
      <c r="K12" s="105">
        <v>-52</v>
      </c>
      <c r="L12" s="105">
        <v>-29</v>
      </c>
      <c r="M12" s="105"/>
      <c r="N12" s="94"/>
      <c r="O12" s="94"/>
      <c r="P12" s="105"/>
      <c r="Q12" s="94"/>
      <c r="S12" s="105"/>
    </row>
    <row r="13" spans="1:20" x14ac:dyDescent="0.25">
      <c r="A13" s="89" t="s">
        <v>89</v>
      </c>
      <c r="B13" s="89"/>
      <c r="C13" s="89"/>
      <c r="D13" s="96">
        <v>-39</v>
      </c>
      <c r="E13" s="99" t="s">
        <v>58</v>
      </c>
      <c r="F13" s="99" t="s">
        <v>58</v>
      </c>
      <c r="G13" s="99"/>
      <c r="I13" t="s">
        <v>122</v>
      </c>
      <c r="J13" s="94" t="s">
        <v>58</v>
      </c>
      <c r="K13" s="94" t="s">
        <v>58</v>
      </c>
      <c r="L13" s="102">
        <v>720</v>
      </c>
      <c r="M13" s="102"/>
      <c r="P13" s="94"/>
      <c r="Q13" s="94"/>
      <c r="S13" s="94"/>
    </row>
    <row r="14" spans="1:20" x14ac:dyDescent="0.25">
      <c r="A14" s="89" t="s">
        <v>90</v>
      </c>
      <c r="B14" s="89"/>
      <c r="C14" s="89"/>
      <c r="D14" s="96">
        <v>-54</v>
      </c>
      <c r="E14" s="99" t="s">
        <v>58</v>
      </c>
      <c r="F14" s="99" t="s">
        <v>58</v>
      </c>
      <c r="G14" s="99"/>
      <c r="I14" t="s">
        <v>130</v>
      </c>
      <c r="J14" s="94" t="s">
        <v>58</v>
      </c>
      <c r="K14" s="102">
        <v>101</v>
      </c>
      <c r="L14" s="102">
        <v>263</v>
      </c>
      <c r="M14" s="102"/>
      <c r="N14" s="94"/>
      <c r="O14" s="94"/>
      <c r="P14" s="102"/>
      <c r="Q14" s="94"/>
      <c r="S14" s="94"/>
    </row>
    <row r="15" spans="1:20" x14ac:dyDescent="0.25">
      <c r="A15" s="89" t="s">
        <v>91</v>
      </c>
      <c r="B15" s="89"/>
      <c r="C15" s="89"/>
      <c r="D15" s="94"/>
      <c r="E15" s="94"/>
      <c r="F15" s="94"/>
      <c r="G15" s="94"/>
      <c r="I15" t="s">
        <v>123</v>
      </c>
      <c r="J15" s="94" t="s">
        <v>58</v>
      </c>
      <c r="K15" s="102">
        <v>99</v>
      </c>
      <c r="L15" s="94" t="s">
        <v>58</v>
      </c>
      <c r="M15" s="94"/>
      <c r="P15" s="102"/>
      <c r="Q15" s="94"/>
      <c r="R15" s="94"/>
      <c r="S15" s="94"/>
    </row>
    <row r="16" spans="1:20" x14ac:dyDescent="0.25">
      <c r="A16" s="89" t="s">
        <v>92</v>
      </c>
      <c r="B16" s="89"/>
      <c r="C16" s="89"/>
      <c r="D16" s="98">
        <v>38</v>
      </c>
      <c r="E16" s="96">
        <v>-64</v>
      </c>
      <c r="F16" s="98">
        <v>11</v>
      </c>
      <c r="G16" s="98"/>
      <c r="I16" t="s">
        <v>85</v>
      </c>
      <c r="J16" s="102">
        <v>45</v>
      </c>
      <c r="K16" s="94" t="s">
        <v>58</v>
      </c>
      <c r="L16" s="102">
        <v>40</v>
      </c>
      <c r="M16" s="102"/>
      <c r="N16" s="94"/>
      <c r="O16" s="94"/>
      <c r="P16" s="94"/>
      <c r="Q16" s="94"/>
      <c r="S16" s="102"/>
    </row>
    <row r="17" spans="1:20" x14ac:dyDescent="0.25">
      <c r="A17" s="89" t="s">
        <v>93</v>
      </c>
      <c r="B17" s="89"/>
      <c r="C17" s="89"/>
      <c r="D17" s="98">
        <v>3</v>
      </c>
      <c r="E17" s="96">
        <v>-177</v>
      </c>
      <c r="F17" s="99" t="s">
        <v>58</v>
      </c>
      <c r="G17" s="99"/>
      <c r="I17" t="s">
        <v>131</v>
      </c>
      <c r="J17" s="94" t="s">
        <v>58</v>
      </c>
      <c r="K17" s="94" t="s">
        <v>58</v>
      </c>
      <c r="L17" s="102">
        <v>37</v>
      </c>
      <c r="M17" s="102"/>
      <c r="P17" s="94"/>
      <c r="Q17" s="94"/>
      <c r="S17" s="94"/>
    </row>
    <row r="18" spans="1:20" x14ac:dyDescent="0.25">
      <c r="A18" s="89" t="s">
        <v>94</v>
      </c>
      <c r="B18" s="89"/>
      <c r="C18" s="89"/>
      <c r="D18" s="98">
        <v>166</v>
      </c>
      <c r="E18" s="96">
        <v>-86</v>
      </c>
      <c r="F18" s="98">
        <v>44</v>
      </c>
      <c r="G18" s="98"/>
      <c r="I18" t="s">
        <v>132</v>
      </c>
      <c r="J18" s="105">
        <v>-20</v>
      </c>
      <c r="K18" s="105">
        <v>-8</v>
      </c>
      <c r="L18" s="105">
        <v>-5</v>
      </c>
      <c r="M18" s="105"/>
      <c r="N18" s="94"/>
      <c r="O18" s="94"/>
      <c r="P18" s="105"/>
      <c r="Q18" s="94"/>
      <c r="S18" s="105"/>
    </row>
    <row r="19" spans="1:20" x14ac:dyDescent="0.25">
      <c r="A19" s="89" t="s">
        <v>95</v>
      </c>
      <c r="B19" s="89"/>
      <c r="C19" s="89"/>
      <c r="D19" s="96">
        <v>-43</v>
      </c>
      <c r="E19" s="96">
        <v>-72</v>
      </c>
      <c r="F19" s="98">
        <v>39</v>
      </c>
      <c r="G19" s="98"/>
      <c r="I19" t="s">
        <v>133</v>
      </c>
      <c r="J19" s="94" t="s">
        <v>58</v>
      </c>
      <c r="K19" s="102">
        <v>6</v>
      </c>
      <c r="L19" s="94" t="s">
        <v>58</v>
      </c>
      <c r="M19" s="94"/>
      <c r="P19" s="102"/>
      <c r="Q19" s="94"/>
      <c r="S19" s="94"/>
    </row>
    <row r="20" spans="1:20" x14ac:dyDescent="0.25">
      <c r="A20" s="89" t="s">
        <v>96</v>
      </c>
      <c r="B20" s="89"/>
      <c r="C20" s="89"/>
      <c r="D20" s="98">
        <v>213</v>
      </c>
      <c r="E20" s="96">
        <v>-91</v>
      </c>
      <c r="F20" s="96">
        <v>-26</v>
      </c>
      <c r="G20" s="96"/>
      <c r="I20" t="s">
        <v>134</v>
      </c>
      <c r="J20" s="94"/>
      <c r="K20" s="94"/>
      <c r="L20" s="94"/>
      <c r="M20" s="94"/>
      <c r="N20" s="94"/>
      <c r="O20" s="94"/>
      <c r="P20" s="94"/>
      <c r="Q20" s="94"/>
      <c r="S20" s="94"/>
      <c r="T20" s="94"/>
    </row>
    <row r="21" spans="1:20" x14ac:dyDescent="0.25">
      <c r="A21" s="89" t="s">
        <v>97</v>
      </c>
      <c r="B21" s="89"/>
      <c r="C21" s="89"/>
      <c r="D21" s="97">
        <v>2039</v>
      </c>
      <c r="E21" s="97">
        <v>1492</v>
      </c>
      <c r="F21" s="97">
        <v>1144</v>
      </c>
      <c r="G21" s="97"/>
      <c r="I21" t="s">
        <v>92</v>
      </c>
      <c r="J21" s="105">
        <v>-13</v>
      </c>
      <c r="K21" s="105">
        <v>-63</v>
      </c>
      <c r="L21" s="102">
        <v>31</v>
      </c>
      <c r="M21" s="102"/>
      <c r="P21" s="105"/>
      <c r="Q21" s="94"/>
      <c r="S21" s="105"/>
    </row>
    <row r="22" spans="1:20" x14ac:dyDescent="0.25">
      <c r="A22" s="90"/>
      <c r="B22" s="90"/>
      <c r="C22" s="90"/>
      <c r="D22" s="94"/>
      <c r="E22" s="94"/>
      <c r="F22" s="94"/>
      <c r="G22" s="94"/>
      <c r="I22" t="s">
        <v>93</v>
      </c>
      <c r="J22" s="105">
        <v>-137</v>
      </c>
      <c r="K22" s="105">
        <v>-40</v>
      </c>
      <c r="L22" s="105">
        <v>-40</v>
      </c>
      <c r="M22" s="105"/>
      <c r="N22" s="94"/>
      <c r="O22" s="94"/>
      <c r="P22" s="105"/>
      <c r="Q22" s="94"/>
      <c r="R22" s="94"/>
      <c r="S22" s="105"/>
    </row>
    <row r="23" spans="1:20" x14ac:dyDescent="0.25">
      <c r="A23" s="89" t="s">
        <v>98</v>
      </c>
      <c r="B23" s="89"/>
      <c r="C23" s="89"/>
      <c r="D23" s="94"/>
      <c r="E23" s="94"/>
      <c r="F23" s="94"/>
      <c r="G23" s="94"/>
      <c r="I23" t="s">
        <v>94</v>
      </c>
      <c r="J23" s="102">
        <v>50</v>
      </c>
      <c r="K23" s="102">
        <v>29</v>
      </c>
      <c r="L23" s="105">
        <v>-93</v>
      </c>
      <c r="M23" s="105"/>
      <c r="P23" s="102"/>
      <c r="Q23" s="94"/>
      <c r="R23" s="94"/>
      <c r="S23" s="102"/>
    </row>
    <row r="24" spans="1:20" x14ac:dyDescent="0.25">
      <c r="A24" s="89" t="s">
        <v>99</v>
      </c>
      <c r="B24" s="89"/>
      <c r="C24" s="89"/>
      <c r="D24" s="106">
        <v>-228</v>
      </c>
      <c r="E24" s="106">
        <v>-270</v>
      </c>
      <c r="F24" s="106">
        <v>-328</v>
      </c>
      <c r="G24" s="106"/>
      <c r="I24" t="s">
        <v>95</v>
      </c>
      <c r="J24" s="105">
        <v>-40</v>
      </c>
      <c r="K24" s="105">
        <v>-113</v>
      </c>
      <c r="L24" s="102">
        <v>18</v>
      </c>
      <c r="M24" s="102"/>
      <c r="N24" s="94"/>
      <c r="O24" s="94"/>
      <c r="P24" s="105"/>
      <c r="Q24" s="94"/>
      <c r="S24" s="105"/>
    </row>
    <row r="25" spans="1:20" x14ac:dyDescent="0.25">
      <c r="A25" s="89" t="s">
        <v>100</v>
      </c>
      <c r="B25" s="89"/>
      <c r="C25" s="89"/>
      <c r="D25" s="98">
        <v>9</v>
      </c>
      <c r="E25" s="98">
        <v>11</v>
      </c>
      <c r="F25" s="99" t="s">
        <v>58</v>
      </c>
      <c r="G25" s="99"/>
      <c r="I25" t="s">
        <v>96</v>
      </c>
      <c r="J25" s="102">
        <v>20</v>
      </c>
      <c r="K25" s="102">
        <v>130</v>
      </c>
      <c r="L25" s="105">
        <v>-15</v>
      </c>
      <c r="M25" s="105"/>
      <c r="P25" s="102"/>
      <c r="Q25" s="94"/>
      <c r="S25" s="102"/>
    </row>
    <row r="26" spans="1:20" x14ac:dyDescent="0.25">
      <c r="A26" s="89" t="s">
        <v>101</v>
      </c>
      <c r="B26" s="89"/>
      <c r="C26" s="89"/>
      <c r="D26" s="106">
        <v>-219</v>
      </c>
      <c r="E26" s="106">
        <v>-259</v>
      </c>
      <c r="F26" s="106">
        <v>-328</v>
      </c>
      <c r="G26" s="106"/>
      <c r="I26" t="s">
        <v>97</v>
      </c>
      <c r="J26" s="102">
        <v>1406</v>
      </c>
      <c r="K26" s="102">
        <v>1377</v>
      </c>
      <c r="L26" s="102">
        <v>1236</v>
      </c>
      <c r="M26" s="102"/>
      <c r="N26" s="94"/>
      <c r="O26" s="94"/>
      <c r="P26" s="102"/>
      <c r="Q26" s="94"/>
      <c r="S26" s="102"/>
    </row>
    <row r="27" spans="1:20" x14ac:dyDescent="0.25">
      <c r="A27" s="90"/>
      <c r="B27" s="90"/>
      <c r="C27" s="90"/>
      <c r="D27" s="94"/>
      <c r="E27" s="94"/>
      <c r="F27" s="94"/>
      <c r="G27" s="94"/>
      <c r="I27" s="82" t="s">
        <v>98</v>
      </c>
      <c r="J27" s="94"/>
      <c r="K27" s="94"/>
      <c r="L27" s="94"/>
      <c r="M27" s="94"/>
      <c r="N27" s="94"/>
      <c r="P27" s="94"/>
      <c r="Q27" s="94"/>
      <c r="R27" s="94"/>
      <c r="S27" s="94"/>
      <c r="T27" s="94"/>
    </row>
    <row r="28" spans="1:20" x14ac:dyDescent="0.25">
      <c r="A28" s="89" t="s">
        <v>102</v>
      </c>
      <c r="B28" s="89"/>
      <c r="C28" s="89"/>
      <c r="D28" s="94"/>
      <c r="E28" s="94"/>
      <c r="F28" s="94"/>
      <c r="G28" s="94"/>
      <c r="I28" t="s">
        <v>99</v>
      </c>
      <c r="J28" s="105">
        <v>-707</v>
      </c>
      <c r="K28" s="105">
        <v>-629</v>
      </c>
      <c r="L28" s="105">
        <v>-458</v>
      </c>
      <c r="M28" s="105"/>
      <c r="N28" s="94"/>
      <c r="O28" s="94"/>
      <c r="P28" s="105"/>
      <c r="Q28" s="94"/>
      <c r="R28" s="94"/>
      <c r="S28" s="105"/>
    </row>
    <row r="29" spans="1:20" x14ac:dyDescent="0.25">
      <c r="A29" s="89" t="s">
        <v>103</v>
      </c>
      <c r="B29" s="89"/>
      <c r="C29" s="89"/>
      <c r="D29" s="97">
        <v>2218</v>
      </c>
      <c r="E29" s="99" t="s">
        <v>59</v>
      </c>
      <c r="F29" s="99" t="s">
        <v>59</v>
      </c>
      <c r="G29" s="99"/>
      <c r="I29" t="s">
        <v>100</v>
      </c>
      <c r="J29" s="102">
        <v>9</v>
      </c>
      <c r="K29" s="102">
        <v>20</v>
      </c>
      <c r="L29" s="105">
        <v>-22</v>
      </c>
      <c r="M29" s="105"/>
      <c r="P29" s="102"/>
      <c r="Q29" s="94"/>
      <c r="S29" s="102"/>
    </row>
    <row r="30" spans="1:20" x14ac:dyDescent="0.25">
      <c r="A30" s="89" t="s">
        <v>104</v>
      </c>
      <c r="B30" s="89"/>
      <c r="C30" s="89"/>
      <c r="D30" s="96">
        <v>-1307</v>
      </c>
      <c r="E30" s="96">
        <v>-1716</v>
      </c>
      <c r="F30" s="99" t="s">
        <v>58</v>
      </c>
      <c r="G30" s="99"/>
      <c r="I30" t="s">
        <v>101</v>
      </c>
      <c r="J30" s="105">
        <v>-698</v>
      </c>
      <c r="K30" s="105">
        <v>-609</v>
      </c>
      <c r="L30" s="105">
        <v>-480</v>
      </c>
      <c r="M30" s="105"/>
      <c r="N30" s="94"/>
      <c r="O30" s="94"/>
      <c r="P30" s="105"/>
      <c r="Q30" s="94"/>
      <c r="S30" s="105"/>
    </row>
    <row r="31" spans="1:20" x14ac:dyDescent="0.25">
      <c r="A31" s="89" t="s">
        <v>105</v>
      </c>
      <c r="B31" s="89"/>
      <c r="C31" s="89"/>
      <c r="D31" s="98">
        <v>950</v>
      </c>
      <c r="E31" s="99" t="s">
        <v>58</v>
      </c>
      <c r="F31" s="99" t="s">
        <v>58</v>
      </c>
      <c r="G31" s="99"/>
      <c r="I31" s="82" t="s">
        <v>102</v>
      </c>
      <c r="J31" s="94"/>
      <c r="K31" s="94"/>
      <c r="L31" s="94"/>
      <c r="M31" s="94"/>
      <c r="N31" s="94"/>
      <c r="P31" s="94"/>
      <c r="Q31" s="94"/>
      <c r="S31" s="94"/>
      <c r="T31" s="94"/>
    </row>
    <row r="32" spans="1:20" x14ac:dyDescent="0.25">
      <c r="A32" s="89" t="s">
        <v>106</v>
      </c>
      <c r="B32" s="89"/>
      <c r="C32" s="89"/>
      <c r="D32" s="96">
        <v>-950</v>
      </c>
      <c r="E32" s="99" t="s">
        <v>58</v>
      </c>
      <c r="F32" s="99" t="s">
        <v>58</v>
      </c>
      <c r="G32" s="99"/>
      <c r="I32" t="s">
        <v>103</v>
      </c>
      <c r="J32" s="102">
        <v>495</v>
      </c>
      <c r="K32" s="94" t="s">
        <v>58</v>
      </c>
      <c r="L32" s="102">
        <v>486</v>
      </c>
      <c r="M32" s="102"/>
      <c r="N32" s="94"/>
      <c r="O32" s="94"/>
      <c r="P32" s="94"/>
      <c r="Q32" s="94"/>
      <c r="S32" s="102"/>
    </row>
    <row r="33" spans="1:19" x14ac:dyDescent="0.25">
      <c r="A33" s="89" t="s">
        <v>107</v>
      </c>
      <c r="B33" s="89"/>
      <c r="C33" s="89"/>
      <c r="D33" s="99" t="s">
        <v>58</v>
      </c>
      <c r="E33" s="98">
        <v>976</v>
      </c>
      <c r="F33" s="99" t="s">
        <v>58</v>
      </c>
      <c r="G33" s="99"/>
      <c r="I33" t="s">
        <v>104</v>
      </c>
      <c r="J33" s="105">
        <v>-540</v>
      </c>
      <c r="K33" s="105">
        <v>-52</v>
      </c>
      <c r="L33" s="105">
        <v>-799</v>
      </c>
      <c r="M33" s="105"/>
      <c r="P33" s="105"/>
      <c r="Q33" s="94"/>
      <c r="S33" s="105"/>
    </row>
    <row r="34" spans="1:19" x14ac:dyDescent="0.25">
      <c r="A34" s="89" t="s">
        <v>108</v>
      </c>
      <c r="B34" s="89"/>
      <c r="C34" s="89"/>
      <c r="D34" s="99" t="s">
        <v>58</v>
      </c>
      <c r="E34" s="96">
        <v>-376</v>
      </c>
      <c r="F34" s="96">
        <v>-25</v>
      </c>
      <c r="G34" s="96"/>
      <c r="I34" t="s">
        <v>135</v>
      </c>
      <c r="J34" s="94" t="s">
        <v>58</v>
      </c>
      <c r="K34" s="102">
        <v>92</v>
      </c>
      <c r="L34" s="102">
        <v>12</v>
      </c>
      <c r="M34" s="102"/>
      <c r="N34" s="94"/>
      <c r="O34" s="94"/>
      <c r="P34" s="102"/>
      <c r="Q34" s="94"/>
      <c r="S34" s="94"/>
    </row>
    <row r="35" spans="1:19" x14ac:dyDescent="0.25">
      <c r="A35" s="89" t="s">
        <v>109</v>
      </c>
      <c r="B35" s="89"/>
      <c r="C35" s="89"/>
      <c r="D35" s="96">
        <v>-155</v>
      </c>
      <c r="E35" s="99" t="s">
        <v>58</v>
      </c>
      <c r="F35" s="99" t="s">
        <v>58</v>
      </c>
      <c r="G35" s="99"/>
      <c r="I35" t="s">
        <v>136</v>
      </c>
      <c r="J35" s="94" t="s">
        <v>58</v>
      </c>
      <c r="K35" s="105">
        <v>-92</v>
      </c>
      <c r="L35" s="105">
        <v>-12</v>
      </c>
      <c r="M35" s="105"/>
      <c r="P35" s="105"/>
      <c r="Q35" s="94"/>
      <c r="S35" s="94"/>
    </row>
    <row r="36" spans="1:19" x14ac:dyDescent="0.25">
      <c r="A36" s="89" t="s">
        <v>110</v>
      </c>
      <c r="B36" s="89"/>
      <c r="C36" s="89"/>
      <c r="D36" s="99" t="s">
        <v>58</v>
      </c>
      <c r="E36" s="96">
        <v>-1964</v>
      </c>
      <c r="F36" s="96">
        <v>-1312</v>
      </c>
      <c r="G36" s="96"/>
      <c r="I36" t="s">
        <v>137</v>
      </c>
      <c r="J36" s="102">
        <v>96</v>
      </c>
      <c r="K36" s="102">
        <v>172</v>
      </c>
      <c r="L36" s="102">
        <v>167</v>
      </c>
      <c r="M36" s="102"/>
      <c r="N36" s="94"/>
      <c r="O36" s="94"/>
      <c r="P36" s="102"/>
      <c r="Q36" s="94"/>
      <c r="S36" s="102"/>
    </row>
    <row r="37" spans="1:19" x14ac:dyDescent="0.25">
      <c r="A37" s="89" t="s">
        <v>111</v>
      </c>
      <c r="B37" s="89"/>
      <c r="C37" s="89"/>
      <c r="D37" s="96">
        <v>-83</v>
      </c>
      <c r="E37" s="96">
        <v>-120</v>
      </c>
      <c r="F37" s="96">
        <v>-186</v>
      </c>
      <c r="G37" s="96"/>
      <c r="I37" t="s">
        <v>138</v>
      </c>
      <c r="J37" s="105">
        <v>-44</v>
      </c>
      <c r="K37" s="105">
        <v>-109</v>
      </c>
      <c r="L37" s="105">
        <v>-162</v>
      </c>
      <c r="M37" s="105"/>
      <c r="P37" s="105"/>
      <c r="Q37" s="94"/>
      <c r="S37" s="105"/>
    </row>
    <row r="38" spans="1:19" x14ac:dyDescent="0.25">
      <c r="A38" s="89" t="s">
        <v>112</v>
      </c>
      <c r="B38" s="89"/>
      <c r="C38" s="89"/>
      <c r="D38" s="98">
        <v>8</v>
      </c>
      <c r="E38" s="98">
        <v>83</v>
      </c>
      <c r="F38" s="98">
        <v>6</v>
      </c>
      <c r="G38" s="98"/>
      <c r="I38" t="s">
        <v>111</v>
      </c>
      <c r="J38" s="105">
        <v>-686</v>
      </c>
      <c r="K38" s="105">
        <v>-666</v>
      </c>
      <c r="L38" s="105">
        <v>-332</v>
      </c>
      <c r="M38" s="105"/>
      <c r="N38" s="94"/>
      <c r="O38" s="94"/>
      <c r="P38" s="105"/>
      <c r="Q38" s="94"/>
      <c r="S38" s="105"/>
    </row>
    <row r="39" spans="1:19" x14ac:dyDescent="0.25">
      <c r="A39" s="89" t="s">
        <v>113</v>
      </c>
      <c r="B39" s="89"/>
      <c r="C39" s="89"/>
      <c r="D39" s="96">
        <v>-12</v>
      </c>
      <c r="E39" s="96">
        <v>-59</v>
      </c>
      <c r="F39" s="96">
        <v>-32</v>
      </c>
      <c r="G39" s="96"/>
      <c r="I39" t="s">
        <v>110</v>
      </c>
      <c r="J39" s="105">
        <v>-446</v>
      </c>
      <c r="K39" s="105">
        <v>-198</v>
      </c>
      <c r="L39" s="94" t="s">
        <v>58</v>
      </c>
      <c r="M39" s="94"/>
      <c r="P39" s="105"/>
      <c r="Q39" s="94"/>
      <c r="S39" s="105"/>
    </row>
    <row r="40" spans="1:19" x14ac:dyDescent="0.25">
      <c r="A40" s="89" t="s">
        <v>114</v>
      </c>
      <c r="B40" s="89"/>
      <c r="C40" s="89"/>
      <c r="D40" s="96">
        <v>-53</v>
      </c>
      <c r="E40" s="96">
        <v>-12</v>
      </c>
      <c r="F40" s="96">
        <v>-9</v>
      </c>
      <c r="G40" s="96"/>
      <c r="I40" t="s">
        <v>113</v>
      </c>
      <c r="J40" s="105">
        <v>-32</v>
      </c>
      <c r="K40" s="105">
        <v>-13</v>
      </c>
      <c r="L40" s="105">
        <v>-13</v>
      </c>
      <c r="M40" s="105"/>
      <c r="N40" s="94"/>
      <c r="O40" s="94"/>
      <c r="P40" s="105"/>
      <c r="Q40" s="94"/>
      <c r="S40" s="105"/>
    </row>
    <row r="41" spans="1:19" x14ac:dyDescent="0.25">
      <c r="A41" s="89" t="s">
        <v>115</v>
      </c>
      <c r="B41" s="89"/>
      <c r="C41" s="89"/>
      <c r="D41" s="96">
        <v>-6</v>
      </c>
      <c r="E41" s="99" t="s">
        <v>58</v>
      </c>
      <c r="F41" s="96">
        <v>-4</v>
      </c>
      <c r="G41" s="96"/>
      <c r="I41" t="s">
        <v>139</v>
      </c>
      <c r="J41" s="102">
        <v>38</v>
      </c>
      <c r="K41" s="102">
        <v>1</v>
      </c>
      <c r="L41" s="102">
        <v>1</v>
      </c>
      <c r="M41" s="102"/>
      <c r="P41" s="102"/>
      <c r="Q41" s="94"/>
      <c r="S41" s="102"/>
    </row>
    <row r="42" spans="1:19" x14ac:dyDescent="0.25">
      <c r="A42" s="89" t="s">
        <v>116</v>
      </c>
      <c r="B42" s="89"/>
      <c r="C42" s="89"/>
      <c r="D42" s="97">
        <v>610</v>
      </c>
      <c r="E42" s="106">
        <v>-3188</v>
      </c>
      <c r="F42" s="106">
        <v>-1562</v>
      </c>
      <c r="G42" s="106"/>
      <c r="I42" t="s">
        <v>140</v>
      </c>
      <c r="J42" s="105">
        <v>-8</v>
      </c>
      <c r="K42" s="105">
        <v>-7</v>
      </c>
      <c r="L42" s="105">
        <v>-14</v>
      </c>
      <c r="M42" s="105"/>
      <c r="N42" s="94"/>
      <c r="O42" s="94"/>
      <c r="P42" s="105"/>
      <c r="Q42" s="94"/>
      <c r="S42" s="105"/>
    </row>
    <row r="43" spans="1:19" x14ac:dyDescent="0.25">
      <c r="A43" s="90"/>
      <c r="B43" s="90"/>
      <c r="C43" s="90"/>
      <c r="D43" s="94"/>
      <c r="E43" s="94"/>
      <c r="F43" s="94"/>
      <c r="G43" s="94"/>
      <c r="I43" t="s">
        <v>141</v>
      </c>
      <c r="J43" s="105">
        <v>-1127</v>
      </c>
      <c r="K43" s="105">
        <v>-872</v>
      </c>
      <c r="L43" s="105">
        <v>-666</v>
      </c>
      <c r="M43" s="105"/>
      <c r="P43" s="105"/>
      <c r="Q43" s="94"/>
      <c r="R43" s="94"/>
      <c r="S43" s="105"/>
    </row>
    <row r="44" spans="1:19" x14ac:dyDescent="0.25">
      <c r="A44" s="89" t="s">
        <v>117</v>
      </c>
      <c r="B44" s="89"/>
      <c r="C44" s="89"/>
      <c r="D44" s="97">
        <v>4</v>
      </c>
      <c r="E44" s="97">
        <v>1</v>
      </c>
      <c r="F44" s="106">
        <v>-1</v>
      </c>
      <c r="G44" s="106"/>
      <c r="I44" t="s">
        <v>142</v>
      </c>
      <c r="J44" s="94" t="s">
        <v>58</v>
      </c>
      <c r="K44" s="102">
        <v>2</v>
      </c>
      <c r="L44" s="105">
        <v>-4</v>
      </c>
      <c r="M44" s="105"/>
      <c r="N44" s="94"/>
      <c r="O44" s="94"/>
      <c r="P44" s="102"/>
      <c r="Q44" s="94"/>
      <c r="S44" s="94"/>
    </row>
    <row r="45" spans="1:19" x14ac:dyDescent="0.25">
      <c r="A45" s="89" t="s">
        <v>118</v>
      </c>
      <c r="B45" s="89"/>
      <c r="C45" s="89"/>
      <c r="D45" s="98">
        <v>2434</v>
      </c>
      <c r="E45" s="96">
        <v>-1954</v>
      </c>
      <c r="F45" s="96">
        <v>-747</v>
      </c>
      <c r="G45" s="96"/>
      <c r="I45" t="s">
        <v>118</v>
      </c>
      <c r="J45" s="105">
        <v>-419</v>
      </c>
      <c r="K45" s="105">
        <v>-102</v>
      </c>
      <c r="L45" s="102">
        <v>86</v>
      </c>
      <c r="M45" s="102"/>
      <c r="P45" s="105"/>
      <c r="Q45" s="94"/>
      <c r="R45" s="91"/>
      <c r="S45" s="105"/>
    </row>
    <row r="46" spans="1:19" x14ac:dyDescent="0.25">
      <c r="A46" s="89" t="s">
        <v>119</v>
      </c>
      <c r="B46" s="89"/>
      <c r="C46" s="89"/>
      <c r="D46" s="98">
        <v>1499</v>
      </c>
      <c r="E46" s="98">
        <v>3933</v>
      </c>
      <c r="F46" s="98">
        <v>1979</v>
      </c>
      <c r="G46" s="98"/>
      <c r="I46" t="s">
        <v>119</v>
      </c>
      <c r="J46" s="102">
        <v>1934</v>
      </c>
      <c r="K46" s="102">
        <v>1515</v>
      </c>
      <c r="L46" s="102">
        <v>1413</v>
      </c>
      <c r="M46" s="102"/>
      <c r="N46" s="94"/>
      <c r="O46" s="94"/>
      <c r="P46" s="102"/>
      <c r="Q46" s="94"/>
      <c r="S46" s="102"/>
    </row>
    <row r="47" spans="1:19" x14ac:dyDescent="0.25">
      <c r="A47" s="89" t="s">
        <v>120</v>
      </c>
      <c r="B47" s="89"/>
      <c r="C47" s="89"/>
      <c r="D47" s="97">
        <v>3933</v>
      </c>
      <c r="E47" s="97">
        <v>1979</v>
      </c>
      <c r="F47" s="97">
        <v>1232</v>
      </c>
      <c r="G47" s="97"/>
      <c r="I47" t="s">
        <v>120</v>
      </c>
      <c r="J47" s="104">
        <v>1515</v>
      </c>
      <c r="K47" s="104">
        <v>1413</v>
      </c>
      <c r="L47" s="104">
        <v>1499</v>
      </c>
      <c r="M47" s="104"/>
      <c r="P47" s="104"/>
      <c r="Q47" s="94"/>
      <c r="S47" s="104"/>
    </row>
    <row r="49" spans="1:1" x14ac:dyDescent="0.25">
      <c r="A49" s="83"/>
    </row>
    <row r="50" spans="1:1" x14ac:dyDescent="0.25">
      <c r="A50" s="83"/>
    </row>
    <row r="52" spans="1:1" x14ac:dyDescent="0.25">
      <c r="A52" s="38"/>
    </row>
    <row r="53" spans="1:1" x14ac:dyDescent="0.25">
      <c r="A53" s="83"/>
    </row>
    <row r="54" spans="1:1" x14ac:dyDescent="0.25">
      <c r="A54" s="38"/>
    </row>
    <row r="55" spans="1:1" x14ac:dyDescent="0.25">
      <c r="A55" s="38"/>
    </row>
    <row r="56" spans="1:1" x14ac:dyDescent="0.25">
      <c r="A56" s="38"/>
    </row>
    <row r="57" spans="1:1" x14ac:dyDescent="0.25">
      <c r="A57" s="84"/>
    </row>
    <row r="59" spans="1:1" x14ac:dyDescent="0.25">
      <c r="A59" s="84"/>
    </row>
    <row r="60" spans="1:1" x14ac:dyDescent="0.25">
      <c r="A60" s="84"/>
    </row>
  </sheetData>
  <sortState xmlns:xlrd2="http://schemas.microsoft.com/office/spreadsheetml/2017/richdata2" columnSort="1" ref="J5:T47">
    <sortCondition ref="J5:T5"/>
  </sortState>
  <mergeCells count="47">
    <mergeCell ref="I1:N1"/>
    <mergeCell ref="I3:T3"/>
    <mergeCell ref="A47:C47"/>
    <mergeCell ref="A46:C46"/>
    <mergeCell ref="A45:C45"/>
    <mergeCell ref="A44:C44"/>
    <mergeCell ref="A43:C43"/>
    <mergeCell ref="A42:C42"/>
    <mergeCell ref="A41:C41"/>
    <mergeCell ref="A40:C40"/>
    <mergeCell ref="A39:C39"/>
    <mergeCell ref="A38:C38"/>
    <mergeCell ref="A37:C37"/>
    <mergeCell ref="A36:C36"/>
    <mergeCell ref="A35:C35"/>
    <mergeCell ref="A34:C34"/>
    <mergeCell ref="A33:C33"/>
    <mergeCell ref="A32:C32"/>
    <mergeCell ref="A31:C31"/>
    <mergeCell ref="A30:C30"/>
    <mergeCell ref="A29:C29"/>
    <mergeCell ref="A28:C28"/>
    <mergeCell ref="A27:C2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A17:C17"/>
    <mergeCell ref="A16:C16"/>
    <mergeCell ref="A15:C15"/>
    <mergeCell ref="A14:C14"/>
    <mergeCell ref="A13:C13"/>
    <mergeCell ref="A12:C12"/>
    <mergeCell ref="A11:C11"/>
    <mergeCell ref="A10:C10"/>
    <mergeCell ref="A9:C9"/>
    <mergeCell ref="A8:C8"/>
    <mergeCell ref="A7:C7"/>
    <mergeCell ref="A6:C6"/>
    <mergeCell ref="A1:F1"/>
    <mergeCell ref="A4:C4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E8" sqref="E8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40" t="s">
        <v>1</v>
      </c>
      <c r="C2" s="2"/>
      <c r="D2" s="2"/>
      <c r="E2" s="2"/>
      <c r="F2" s="2"/>
      <c r="G2" s="2"/>
      <c r="H2" s="2"/>
      <c r="I2" s="2"/>
      <c r="J2" s="2"/>
      <c r="K2" s="2"/>
      <c r="L2" s="41"/>
    </row>
    <row r="3" spans="1:12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2"/>
    </row>
    <row r="4" spans="1:12" x14ac:dyDescent="0.25">
      <c r="A4" s="43" t="s">
        <v>40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4">
        <v>0.24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4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5">
        <v>1.5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4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'BBWI DCF'!D63</f>
        <v>8625</v>
      </c>
      <c r="D12" s="2"/>
      <c r="E12" s="2" t="s">
        <v>33</v>
      </c>
      <c r="F12" s="2"/>
      <c r="G12" s="23">
        <f>'BBWI DCF'!D60</f>
        <v>851</v>
      </c>
      <c r="H12" s="2"/>
      <c r="I12" s="2" t="s">
        <v>45</v>
      </c>
      <c r="J12" s="2"/>
      <c r="K12" s="23">
        <f>G12+C12</f>
        <v>9476</v>
      </c>
      <c r="L12" s="2"/>
    </row>
    <row r="13" spans="1:12" x14ac:dyDescent="0.25">
      <c r="A13" s="2" t="s">
        <v>46</v>
      </c>
      <c r="B13" s="2"/>
      <c r="C13" s="46">
        <f>C12/K12</f>
        <v>0.91019417475728159</v>
      </c>
      <c r="D13" s="2"/>
      <c r="E13" s="2" t="s">
        <v>47</v>
      </c>
      <c r="F13" s="2"/>
      <c r="G13" s="47">
        <f>G12/K12</f>
        <v>8.9805825242718448E-2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8">
        <f>D7+D8*(D9)</f>
        <v>0.127</v>
      </c>
      <c r="D14" s="2"/>
      <c r="E14" s="2" t="s">
        <v>49</v>
      </c>
      <c r="F14" s="2"/>
      <c r="G14" s="47">
        <v>6.6000000000000003E-2</v>
      </c>
      <c r="H14" s="2"/>
      <c r="I14" s="49" t="s">
        <v>1</v>
      </c>
      <c r="J14" s="50"/>
      <c r="K14" s="51">
        <f>C13*C14+G14*G13*(1-D6)</f>
        <v>0.12009932038834951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BBWI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2023-07-02T15:46:00Z</dcterms:modified>
</cp:coreProperties>
</file>