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1\Downloads\"/>
    </mc:Choice>
  </mc:AlternateContent>
  <xr:revisionPtr revIDLastSave="0" documentId="13_ncr:1_{772F367F-08B3-4995-A85E-38232496C5E8}" xr6:coauthVersionLast="47" xr6:coauthVersionMax="47" xr10:uidLastSave="{00000000-0000-0000-0000-000000000000}"/>
  <bookViews>
    <workbookView xWindow="-120" yWindow="-120" windowWidth="20730" windowHeight="11040" xr2:uid="{AED10510-8238-4EDE-B018-BD7F77967871}"/>
  </bookViews>
  <sheets>
    <sheet name="ENPH" sheetId="1" r:id="rId1"/>
    <sheet name="WACC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3" i="1" l="1"/>
  <c r="K23" i="1"/>
  <c r="L23" i="1" s="1"/>
  <c r="M23" i="1" s="1"/>
  <c r="N23" i="1" s="1"/>
  <c r="O23" i="1" s="1"/>
  <c r="P23" i="1" s="1"/>
  <c r="Q23" i="1" s="1"/>
  <c r="R23" i="1" s="1"/>
  <c r="I23" i="1"/>
  <c r="I11" i="1"/>
  <c r="H30" i="1" l="1"/>
  <c r="H36" i="1"/>
  <c r="K26" i="1"/>
  <c r="L26" i="1"/>
  <c r="M26" i="1" s="1"/>
  <c r="N26" i="1" s="1"/>
  <c r="O26" i="1" s="1"/>
  <c r="P26" i="1" s="1"/>
  <c r="Q26" i="1" s="1"/>
  <c r="R26" i="1" s="1"/>
  <c r="M17" i="1"/>
  <c r="L17" i="1"/>
  <c r="D64" i="1"/>
  <c r="G12" i="2" s="1"/>
  <c r="D63" i="1"/>
  <c r="D66" i="1"/>
  <c r="D67" i="1" s="1"/>
  <c r="C12" i="2" s="1"/>
  <c r="C16" i="1"/>
  <c r="D16" i="1"/>
  <c r="E16" i="1"/>
  <c r="C30" i="1"/>
  <c r="D30" i="1"/>
  <c r="E30" i="1"/>
  <c r="F30" i="1"/>
  <c r="G30" i="1"/>
  <c r="D6" i="2"/>
  <c r="L64" i="1"/>
  <c r="L63" i="1" s="1"/>
  <c r="L66" i="1"/>
  <c r="L67" i="1" s="1"/>
  <c r="E33" i="1" l="1"/>
  <c r="E36" i="1" s="1"/>
  <c r="C33" i="1"/>
  <c r="C36" i="1" s="1"/>
  <c r="D33" i="1"/>
  <c r="D36" i="1" s="1"/>
  <c r="H31" i="1"/>
  <c r="D26" i="1"/>
  <c r="E26" i="1"/>
  <c r="F26" i="1"/>
  <c r="G26" i="1"/>
  <c r="H26" i="1"/>
  <c r="C26" i="1"/>
  <c r="D23" i="1"/>
  <c r="E23" i="1"/>
  <c r="F23" i="1"/>
  <c r="G23" i="1"/>
  <c r="H23" i="1"/>
  <c r="C23" i="1"/>
  <c r="D20" i="1"/>
  <c r="E20" i="1"/>
  <c r="F20" i="1"/>
  <c r="G20" i="1"/>
  <c r="H20" i="1"/>
  <c r="C20" i="1"/>
  <c r="C14" i="2"/>
  <c r="F49" i="1"/>
  <c r="G49" i="1"/>
  <c r="H49" i="1"/>
  <c r="E49" i="1"/>
  <c r="D49" i="1"/>
  <c r="C49" i="1"/>
  <c r="D46" i="1"/>
  <c r="C46" i="1"/>
  <c r="F46" i="1"/>
  <c r="H46" i="1"/>
  <c r="F31" i="1"/>
  <c r="D31" i="1"/>
  <c r="G52" i="1"/>
  <c r="H52" i="1"/>
  <c r="G46" i="1"/>
  <c r="G16" i="1"/>
  <c r="G33" i="1" s="1"/>
  <c r="G36" i="1" s="1"/>
  <c r="G55" i="1" s="1"/>
  <c r="F16" i="1"/>
  <c r="F33" i="1" s="1"/>
  <c r="F36" i="1" s="1"/>
  <c r="F55" i="1" s="1"/>
  <c r="H16" i="1"/>
  <c r="E52" i="1"/>
  <c r="D52" i="1"/>
  <c r="C52" i="1"/>
  <c r="E46" i="1"/>
  <c r="D44" i="1"/>
  <c r="E44" i="1" s="1"/>
  <c r="H12" i="1"/>
  <c r="G12" i="1"/>
  <c r="F12" i="1"/>
  <c r="E12" i="1"/>
  <c r="D12" i="1"/>
  <c r="J9" i="1"/>
  <c r="K9" i="1" s="1"/>
  <c r="L9" i="1" s="1"/>
  <c r="M9" i="1" s="1"/>
  <c r="N9" i="1" s="1"/>
  <c r="O9" i="1" s="1"/>
  <c r="P9" i="1" s="1"/>
  <c r="Q9" i="1" s="1"/>
  <c r="R9" i="1" s="1"/>
  <c r="H33" i="1" l="1"/>
  <c r="H55" i="1" s="1"/>
  <c r="C55" i="1"/>
  <c r="D55" i="1"/>
  <c r="E17" i="1"/>
  <c r="G17" i="1"/>
  <c r="F38" i="1"/>
  <c r="C17" i="1"/>
  <c r="F52" i="1"/>
  <c r="K12" i="2"/>
  <c r="D17" i="1"/>
  <c r="H17" i="1"/>
  <c r="F17" i="1"/>
  <c r="C31" i="1"/>
  <c r="E31" i="1"/>
  <c r="G31" i="1"/>
  <c r="E55" i="1" l="1"/>
  <c r="F54" i="1"/>
  <c r="F42" i="1"/>
  <c r="D38" i="1"/>
  <c r="H38" i="1"/>
  <c r="C13" i="2"/>
  <c r="G13" i="2"/>
  <c r="G38" i="1"/>
  <c r="E38" i="1"/>
  <c r="E42" i="1" s="1"/>
  <c r="C38" i="1"/>
  <c r="C42" i="1" s="1"/>
  <c r="H42" i="1" l="1"/>
  <c r="H54" i="1"/>
  <c r="H57" i="1" s="1"/>
  <c r="D54" i="1"/>
  <c r="D57" i="1" s="1"/>
  <c r="D42" i="1"/>
  <c r="G54" i="1"/>
  <c r="G57" i="1" s="1"/>
  <c r="G42" i="1"/>
  <c r="D39" i="1"/>
  <c r="E54" i="1"/>
  <c r="E57" i="1" s="1"/>
  <c r="C54" i="1"/>
  <c r="C57" i="1" s="1"/>
  <c r="F57" i="1"/>
  <c r="F39" i="1"/>
  <c r="H39" i="1"/>
  <c r="K14" i="2"/>
  <c r="E5" i="1" s="1"/>
  <c r="G39" i="1"/>
  <c r="C39" i="1"/>
  <c r="E39" i="1"/>
  <c r="I34" i="1" l="1"/>
  <c r="I48" i="1"/>
  <c r="I51" i="1"/>
  <c r="I19" i="1"/>
  <c r="I30" i="1" s="1"/>
  <c r="I25" i="1"/>
  <c r="I45" i="1"/>
  <c r="J11" i="1"/>
  <c r="I22" i="1"/>
  <c r="I16" i="1"/>
  <c r="J19" i="1" l="1"/>
  <c r="J51" i="1"/>
  <c r="J48" i="1"/>
  <c r="J25" i="1"/>
  <c r="J16" i="1"/>
  <c r="J34" i="1"/>
  <c r="J45" i="1"/>
  <c r="J22" i="1"/>
  <c r="J14" i="1"/>
  <c r="K11" i="1"/>
  <c r="I14" i="1"/>
  <c r="I31" i="1" l="1"/>
  <c r="I33" i="1"/>
  <c r="I38" i="1" s="1"/>
  <c r="J30" i="1"/>
  <c r="J31" i="1" s="1"/>
  <c r="K19" i="1"/>
  <c r="K34" i="1"/>
  <c r="K25" i="1"/>
  <c r="K16" i="1"/>
  <c r="K48" i="1"/>
  <c r="K51" i="1"/>
  <c r="L11" i="1"/>
  <c r="K22" i="1"/>
  <c r="K45" i="1"/>
  <c r="J33" i="1" l="1"/>
  <c r="L19" i="1"/>
  <c r="L22" i="1"/>
  <c r="L51" i="1"/>
  <c r="L25" i="1"/>
  <c r="L34" i="1"/>
  <c r="L45" i="1"/>
  <c r="L48" i="1"/>
  <c r="L16" i="1"/>
  <c r="M11" i="1"/>
  <c r="I36" i="1"/>
  <c r="K14" i="1"/>
  <c r="K30" i="1"/>
  <c r="K31" i="1" s="1"/>
  <c r="J38" i="1" l="1"/>
  <c r="J36" i="1"/>
  <c r="K33" i="1"/>
  <c r="I41" i="1"/>
  <c r="I54" i="1" s="1"/>
  <c r="I57" i="1" s="1"/>
  <c r="I58" i="1" s="1"/>
  <c r="I39" i="1"/>
  <c r="M34" i="1"/>
  <c r="M51" i="1"/>
  <c r="M19" i="1"/>
  <c r="M45" i="1"/>
  <c r="M22" i="1"/>
  <c r="N11" i="1"/>
  <c r="M25" i="1"/>
  <c r="M48" i="1"/>
  <c r="M16" i="1"/>
  <c r="L14" i="1"/>
  <c r="L30" i="1"/>
  <c r="L31" i="1" s="1"/>
  <c r="I55" i="1" l="1"/>
  <c r="J41" i="1"/>
  <c r="J39" i="1"/>
  <c r="M30" i="1"/>
  <c r="M31" i="1" s="1"/>
  <c r="L33" i="1"/>
  <c r="N19" i="1"/>
  <c r="N48" i="1"/>
  <c r="N25" i="1"/>
  <c r="N22" i="1"/>
  <c r="N16" i="1"/>
  <c r="N34" i="1"/>
  <c r="N45" i="1"/>
  <c r="N51" i="1"/>
  <c r="N14" i="1"/>
  <c r="O11" i="1"/>
  <c r="M14" i="1"/>
  <c r="K38" i="1"/>
  <c r="K36" i="1"/>
  <c r="M33" i="1" l="1"/>
  <c r="M38" i="1" s="1"/>
  <c r="J55" i="1"/>
  <c r="J54" i="1"/>
  <c r="J57" i="1" s="1"/>
  <c r="J58" i="1" s="1"/>
  <c r="K39" i="1"/>
  <c r="K41" i="1"/>
  <c r="K54" i="1" s="1"/>
  <c r="K57" i="1" s="1"/>
  <c r="K58" i="1" s="1"/>
  <c r="O19" i="1"/>
  <c r="O22" i="1"/>
  <c r="O34" i="1"/>
  <c r="O45" i="1"/>
  <c r="O16" i="1"/>
  <c r="P11" i="1"/>
  <c r="O25" i="1"/>
  <c r="O48" i="1"/>
  <c r="O51" i="1"/>
  <c r="L38" i="1"/>
  <c r="L36" i="1"/>
  <c r="M36" i="1"/>
  <c r="N30" i="1"/>
  <c r="N31" i="1" s="1"/>
  <c r="K55" i="1" l="1"/>
  <c r="L39" i="1"/>
  <c r="L41" i="1"/>
  <c r="L54" i="1" s="1"/>
  <c r="L57" i="1" s="1"/>
  <c r="L58" i="1" s="1"/>
  <c r="O33" i="1"/>
  <c r="O30" i="1"/>
  <c r="O31" i="1" s="1"/>
  <c r="N33" i="1"/>
  <c r="M39" i="1"/>
  <c r="M41" i="1"/>
  <c r="M54" i="1" s="1"/>
  <c r="M57" i="1" s="1"/>
  <c r="M58" i="1" s="1"/>
  <c r="L55" i="1"/>
  <c r="O14" i="1"/>
  <c r="P19" i="1"/>
  <c r="P51" i="1"/>
  <c r="P45" i="1"/>
  <c r="P25" i="1"/>
  <c r="P22" i="1"/>
  <c r="P48" i="1"/>
  <c r="Q11" i="1"/>
  <c r="P34" i="1"/>
  <c r="P16" i="1"/>
  <c r="P14" i="1" s="1"/>
  <c r="M55" i="1" l="1"/>
  <c r="P30" i="1"/>
  <c r="P31" i="1" s="1"/>
  <c r="N36" i="1"/>
  <c r="N38" i="1"/>
  <c r="O38" i="1"/>
  <c r="O36" i="1"/>
  <c r="Q19" i="1"/>
  <c r="Q34" i="1"/>
  <c r="Q45" i="1"/>
  <c r="Q25" i="1"/>
  <c r="R11" i="1"/>
  <c r="Q51" i="1"/>
  <c r="Q48" i="1"/>
  <c r="Q22" i="1"/>
  <c r="Q16" i="1"/>
  <c r="Q14" i="1" s="1"/>
  <c r="Q30" i="1" l="1"/>
  <c r="Q31" i="1" s="1"/>
  <c r="N39" i="1"/>
  <c r="N41" i="1"/>
  <c r="N54" i="1" s="1"/>
  <c r="N57" i="1" s="1"/>
  <c r="N58" i="1" s="1"/>
  <c r="R25" i="1"/>
  <c r="R48" i="1"/>
  <c r="R51" i="1"/>
  <c r="R19" i="1"/>
  <c r="R45" i="1"/>
  <c r="R14" i="1"/>
  <c r="R34" i="1"/>
  <c r="R22" i="1"/>
  <c r="R16" i="1"/>
  <c r="P33" i="1"/>
  <c r="O41" i="1"/>
  <c r="O54" i="1" s="1"/>
  <c r="O57" i="1" s="1"/>
  <c r="O58" i="1" s="1"/>
  <c r="O39" i="1"/>
  <c r="N55" i="1" l="1"/>
  <c r="Q33" i="1"/>
  <c r="Q38" i="1" s="1"/>
  <c r="P36" i="1"/>
  <c r="P38" i="1"/>
  <c r="R30" i="1"/>
  <c r="R31" i="1" s="1"/>
  <c r="O55" i="1"/>
  <c r="Q36" i="1" l="1"/>
  <c r="R33" i="1"/>
  <c r="R36" i="1" s="1"/>
  <c r="P39" i="1"/>
  <c r="P41" i="1"/>
  <c r="P54" i="1" s="1"/>
  <c r="P57" i="1" s="1"/>
  <c r="P58" i="1" s="1"/>
  <c r="Q39" i="1"/>
  <c r="Q41" i="1"/>
  <c r="Q55" i="1" s="1"/>
  <c r="R38" i="1" l="1"/>
  <c r="P55" i="1"/>
  <c r="R39" i="1"/>
  <c r="R41" i="1"/>
  <c r="R54" i="1" s="1"/>
  <c r="R57" i="1" s="1"/>
  <c r="Q54" i="1"/>
  <c r="Q57" i="1" s="1"/>
  <c r="Q58" i="1" s="1"/>
  <c r="R55" i="1"/>
  <c r="S55" i="1" s="1"/>
  <c r="T55" i="1" s="1"/>
  <c r="U55" i="1" s="1"/>
  <c r="V55" i="1" s="1"/>
  <c r="W55" i="1" s="1"/>
  <c r="X55" i="1" s="1"/>
  <c r="Y55" i="1" s="1"/>
  <c r="Z55" i="1" s="1"/>
  <c r="AA55" i="1" s="1"/>
  <c r="AB55" i="1" s="1"/>
  <c r="AC55" i="1" s="1"/>
  <c r="AD55" i="1" s="1"/>
  <c r="AE55" i="1" s="1"/>
  <c r="AF55" i="1" s="1"/>
  <c r="AG55" i="1" s="1"/>
  <c r="AH55" i="1" s="1"/>
  <c r="AI55" i="1" s="1"/>
  <c r="AJ55" i="1" s="1"/>
  <c r="AK55" i="1" s="1"/>
  <c r="AL55" i="1" s="1"/>
  <c r="AM55" i="1" s="1"/>
  <c r="AN55" i="1" s="1"/>
  <c r="AO55" i="1" s="1"/>
  <c r="AP55" i="1" s="1"/>
  <c r="AQ55" i="1" s="1"/>
  <c r="AR55" i="1" s="1"/>
  <c r="AS55" i="1" s="1"/>
  <c r="AT55" i="1" s="1"/>
  <c r="AU55" i="1" s="1"/>
  <c r="AV55" i="1" s="1"/>
  <c r="AW55" i="1" s="1"/>
  <c r="AX55" i="1" s="1"/>
  <c r="AY55" i="1" s="1"/>
  <c r="AZ55" i="1" s="1"/>
  <c r="BA55" i="1" s="1"/>
  <c r="BB55" i="1" s="1"/>
  <c r="BC55" i="1" s="1"/>
  <c r="BD55" i="1" s="1"/>
  <c r="BE55" i="1" s="1"/>
  <c r="BF55" i="1" s="1"/>
  <c r="BG55" i="1" s="1"/>
  <c r="BH55" i="1" s="1"/>
  <c r="BI55" i="1" s="1"/>
  <c r="BJ55" i="1" s="1"/>
  <c r="BK55" i="1" s="1"/>
  <c r="BL55" i="1" s="1"/>
  <c r="BM55" i="1" s="1"/>
  <c r="BN55" i="1" s="1"/>
  <c r="BO55" i="1" s="1"/>
  <c r="BP55" i="1" s="1"/>
  <c r="BQ55" i="1" s="1"/>
  <c r="BR55" i="1" s="1"/>
  <c r="BS55" i="1" s="1"/>
  <c r="BT55" i="1" s="1"/>
  <c r="BU55" i="1" s="1"/>
  <c r="BV55" i="1" s="1"/>
  <c r="BW55" i="1" s="1"/>
  <c r="BX55" i="1" s="1"/>
  <c r="BY55" i="1" s="1"/>
  <c r="BZ55" i="1" s="1"/>
  <c r="CA55" i="1" s="1"/>
  <c r="CB55" i="1" s="1"/>
  <c r="CC55" i="1" s="1"/>
  <c r="CD55" i="1" s="1"/>
  <c r="CE55" i="1" s="1"/>
  <c r="CF55" i="1" s="1"/>
  <c r="CG55" i="1" s="1"/>
  <c r="CH55" i="1" s="1"/>
  <c r="F60" i="1" l="1"/>
  <c r="H63" i="1" s="1"/>
  <c r="H65" i="1" s="1"/>
  <c r="H68" i="1" s="1"/>
  <c r="R58" i="1"/>
  <c r="C60" i="1"/>
  <c r="C61" i="1" s="1"/>
  <c r="G63" i="1" l="1"/>
  <c r="G65" i="1" s="1"/>
  <c r="G68" i="1" s="1"/>
  <c r="D68" i="1" s="1"/>
  <c r="L62" i="1" s="1"/>
  <c r="J6" i="1" l="1"/>
  <c r="N5" i="1" s="1"/>
</calcChain>
</file>

<file path=xl/sharedStrings.xml><?xml version="1.0" encoding="utf-8"?>
<sst xmlns="http://schemas.openxmlformats.org/spreadsheetml/2006/main" count="84" uniqueCount="58">
  <si>
    <t xml:space="preserve">Valuation Assumptions: </t>
  </si>
  <si>
    <t>WACC</t>
  </si>
  <si>
    <t>Current price   :</t>
  </si>
  <si>
    <t xml:space="preserve">Upside/Downside : </t>
  </si>
  <si>
    <t>Terminal rate</t>
  </si>
  <si>
    <t xml:space="preserve">Implied price   : </t>
  </si>
  <si>
    <t>Income Statement</t>
  </si>
  <si>
    <t>Revenue</t>
  </si>
  <si>
    <t>% growth</t>
  </si>
  <si>
    <t>COGS</t>
  </si>
  <si>
    <t>Gross Profit</t>
  </si>
  <si>
    <t>% Gross Margin</t>
  </si>
  <si>
    <t>R&amp;D</t>
  </si>
  <si>
    <t>Opex</t>
  </si>
  <si>
    <t>Operating income</t>
  </si>
  <si>
    <t>Other income</t>
  </si>
  <si>
    <t>Pre-tax income</t>
  </si>
  <si>
    <t>EBIT</t>
  </si>
  <si>
    <t>% Revenue</t>
  </si>
  <si>
    <t>Taxes</t>
  </si>
  <si>
    <t>% EBIT</t>
  </si>
  <si>
    <t>Cash Flow Statement</t>
  </si>
  <si>
    <t>D&amp;A</t>
  </si>
  <si>
    <t>CapEx</t>
  </si>
  <si>
    <t>change NWC</t>
  </si>
  <si>
    <t>EBIAT</t>
  </si>
  <si>
    <t>Net income</t>
  </si>
  <si>
    <t>FCF</t>
  </si>
  <si>
    <t>Present value FCF</t>
  </si>
  <si>
    <t>TV</t>
  </si>
  <si>
    <t>DNI</t>
  </si>
  <si>
    <t>PV of TV</t>
  </si>
  <si>
    <t>Enterprise Value</t>
  </si>
  <si>
    <t>DCF</t>
  </si>
  <si>
    <t>Cash</t>
  </si>
  <si>
    <t>Debt</t>
  </si>
  <si>
    <t>Equity Value</t>
  </si>
  <si>
    <t>Shares</t>
  </si>
  <si>
    <t xml:space="preserve">Current market cap </t>
  </si>
  <si>
    <t>Share Price</t>
  </si>
  <si>
    <t>Mean:</t>
  </si>
  <si>
    <t>​</t>
  </si>
  <si>
    <t xml:space="preserve">Assumpions: </t>
  </si>
  <si>
    <t>Tax Rate</t>
  </si>
  <si>
    <t>Risk Free Rate</t>
  </si>
  <si>
    <t>Beta</t>
  </si>
  <si>
    <t>Market Risk Premium</t>
  </si>
  <si>
    <t>D+E</t>
  </si>
  <si>
    <t>% Equity</t>
  </si>
  <si>
    <t>% Debt</t>
  </si>
  <si>
    <t>Cost of Equity</t>
  </si>
  <si>
    <t>Cost of Debt</t>
  </si>
  <si>
    <t xml:space="preserve">                                             Terminal Growth Rate</t>
  </si>
  <si>
    <t>Last update</t>
  </si>
  <si>
    <t>S&amp;M</t>
  </si>
  <si>
    <t>G&amp;A</t>
  </si>
  <si>
    <t>Other</t>
  </si>
  <si>
    <t>Enphase Energy DCF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</si>
</sst>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00%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rgb="FF00B05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9">
    <xf numFmtId="0" fontId="0" fillId="0" borderId="0" xfId="0"/>
    <xf numFmtId="0" fontId="3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0" xfId="0" applyFont="1" applyFill="1"/>
    <xf numFmtId="0" fontId="6" fillId="2" borderId="0" xfId="0" applyFont="1" applyFill="1"/>
    <xf numFmtId="0" fontId="3" fillId="2" borderId="0" xfId="0" applyFont="1" applyFill="1" applyAlignment="1">
      <alignment horizontal="left"/>
    </xf>
    <xf numFmtId="164" fontId="3" fillId="2" borderId="2" xfId="0" applyNumberFormat="1" applyFont="1" applyFill="1" applyBorder="1" applyAlignment="1">
      <alignment horizontal="center"/>
    </xf>
    <xf numFmtId="164" fontId="3" fillId="2" borderId="0" xfId="0" applyNumberFormat="1" applyFont="1" applyFill="1" applyAlignment="1">
      <alignment horizontal="center"/>
    </xf>
    <xf numFmtId="0" fontId="6" fillId="3" borderId="0" xfId="0" applyFont="1" applyFill="1"/>
    <xf numFmtId="0" fontId="6" fillId="4" borderId="0" xfId="0" applyFont="1" applyFill="1"/>
    <xf numFmtId="3" fontId="3" fillId="2" borderId="0" xfId="0" applyNumberFormat="1" applyFont="1" applyFill="1"/>
    <xf numFmtId="0" fontId="3" fillId="2" borderId="4" xfId="0" applyFont="1" applyFill="1" applyBorder="1"/>
    <xf numFmtId="0" fontId="7" fillId="2" borderId="0" xfId="0" applyFont="1" applyFill="1"/>
    <xf numFmtId="164" fontId="7" fillId="2" borderId="0" xfId="1" applyNumberFormat="1" applyFont="1" applyFill="1"/>
    <xf numFmtId="0" fontId="3" fillId="2" borderId="3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1" fontId="3" fillId="2" borderId="0" xfId="0" applyNumberFormat="1" applyFont="1" applyFill="1"/>
    <xf numFmtId="164" fontId="9" fillId="2" borderId="4" xfId="1" applyNumberFormat="1" applyFont="1" applyFill="1" applyBorder="1"/>
    <xf numFmtId="164" fontId="7" fillId="2" borderId="4" xfId="1" applyNumberFormat="1" applyFont="1" applyFill="1" applyBorder="1"/>
    <xf numFmtId="1" fontId="3" fillId="2" borderId="4" xfId="0" applyNumberFormat="1" applyFont="1" applyFill="1" applyBorder="1"/>
    <xf numFmtId="10" fontId="3" fillId="2" borderId="0" xfId="1" applyNumberFormat="1" applyFont="1" applyFill="1"/>
    <xf numFmtId="0" fontId="0" fillId="2" borderId="4" xfId="0" applyFill="1" applyBorder="1"/>
    <xf numFmtId="3" fontId="0" fillId="2" borderId="0" xfId="0" applyNumberFormat="1" applyFill="1"/>
    <xf numFmtId="3" fontId="3" fillId="0" borderId="0" xfId="0" applyNumberFormat="1" applyFont="1"/>
    <xf numFmtId="0" fontId="3" fillId="4" borderId="0" xfId="0" applyFont="1" applyFill="1"/>
    <xf numFmtId="0" fontId="3" fillId="2" borderId="7" xfId="0" applyFont="1" applyFill="1" applyBorder="1"/>
    <xf numFmtId="1" fontId="0" fillId="2" borderId="0" xfId="0" applyNumberFormat="1" applyFill="1"/>
    <xf numFmtId="1" fontId="0" fillId="2" borderId="5" xfId="0" applyNumberFormat="1" applyFill="1" applyBorder="1"/>
    <xf numFmtId="0" fontId="0" fillId="5" borderId="0" xfId="0" applyFill="1"/>
    <xf numFmtId="0" fontId="3" fillId="2" borderId="0" xfId="0" quotePrefix="1" applyFont="1" applyFill="1"/>
    <xf numFmtId="0" fontId="3" fillId="2" borderId="1" xfId="0" quotePrefix="1" applyFont="1" applyFill="1" applyBorder="1"/>
    <xf numFmtId="3" fontId="0" fillId="2" borderId="5" xfId="0" applyNumberFormat="1" applyFill="1" applyBorder="1"/>
    <xf numFmtId="3" fontId="6" fillId="2" borderId="0" xfId="0" applyNumberFormat="1" applyFont="1" applyFill="1"/>
    <xf numFmtId="3" fontId="2" fillId="2" borderId="0" xfId="0" applyNumberFormat="1" applyFont="1" applyFill="1"/>
    <xf numFmtId="0" fontId="3" fillId="2" borderId="8" xfId="0" applyFont="1" applyFill="1" applyBorder="1"/>
    <xf numFmtId="2" fontId="6" fillId="2" borderId="0" xfId="0" applyNumberFormat="1" applyFont="1" applyFill="1"/>
    <xf numFmtId="3" fontId="3" fillId="2" borderId="5" xfId="0" applyNumberFormat="1" applyFont="1" applyFill="1" applyBorder="1"/>
    <xf numFmtId="3" fontId="0" fillId="0" borderId="0" xfId="0" applyNumberFormat="1"/>
    <xf numFmtId="3" fontId="3" fillId="2" borderId="0" xfId="0" applyNumberFormat="1" applyFont="1" applyFill="1" applyAlignment="1">
      <alignment horizontal="center"/>
    </xf>
    <xf numFmtId="0" fontId="10" fillId="2" borderId="0" xfId="0" applyFont="1" applyFill="1"/>
    <xf numFmtId="0" fontId="0" fillId="2" borderId="1" xfId="0" applyFill="1" applyBorder="1"/>
    <xf numFmtId="0" fontId="0" fillId="2" borderId="6" xfId="0" applyFill="1" applyBorder="1"/>
    <xf numFmtId="0" fontId="0" fillId="6" borderId="0" xfId="0" applyFill="1"/>
    <xf numFmtId="164" fontId="0" fillId="7" borderId="0" xfId="0" applyNumberFormat="1" applyFill="1" applyAlignment="1">
      <alignment horizontal="right"/>
    </xf>
    <xf numFmtId="0" fontId="0" fillId="7" borderId="0" xfId="0" applyFill="1" applyAlignment="1">
      <alignment horizontal="right"/>
    </xf>
    <xf numFmtId="9" fontId="0" fillId="2" borderId="0" xfId="1" applyFont="1" applyFill="1"/>
    <xf numFmtId="164" fontId="0" fillId="2" borderId="0" xfId="0" applyNumberFormat="1" applyFill="1" applyAlignment="1">
      <alignment horizontal="right"/>
    </xf>
    <xf numFmtId="164" fontId="0" fillId="2" borderId="0" xfId="0" applyNumberFormat="1" applyFill="1"/>
    <xf numFmtId="164" fontId="0" fillId="2" borderId="2" xfId="0" applyNumberFormat="1" applyFill="1" applyBorder="1" applyAlignment="1">
      <alignment horizontal="right"/>
    </xf>
    <xf numFmtId="0" fontId="2" fillId="2" borderId="9" xfId="0" applyFont="1" applyFill="1" applyBorder="1"/>
    <xf numFmtId="0" fontId="0" fillId="2" borderId="10" xfId="0" applyFill="1" applyBorder="1"/>
    <xf numFmtId="164" fontId="7" fillId="2" borderId="0" xfId="1" applyNumberFormat="1" applyFont="1" applyFill="1" applyBorder="1"/>
    <xf numFmtId="0" fontId="0" fillId="8" borderId="0" xfId="0" applyFill="1"/>
    <xf numFmtId="0" fontId="3" fillId="9" borderId="0" xfId="0" applyFont="1" applyFill="1"/>
    <xf numFmtId="0" fontId="3" fillId="9" borderId="0" xfId="0" applyFont="1" applyFill="1" applyAlignment="1">
      <alignment horizontal="center"/>
    </xf>
    <xf numFmtId="2" fontId="3" fillId="2" borderId="0" xfId="0" applyNumberFormat="1" applyFont="1" applyFill="1"/>
    <xf numFmtId="164" fontId="0" fillId="10" borderId="0" xfId="0" applyNumberFormat="1" applyFill="1"/>
    <xf numFmtId="164" fontId="0" fillId="10" borderId="0" xfId="0" applyNumberFormat="1" applyFill="1" applyAlignment="1">
      <alignment horizontal="left"/>
    </xf>
    <xf numFmtId="2" fontId="0" fillId="2" borderId="0" xfId="0" applyNumberFormat="1" applyFill="1"/>
    <xf numFmtId="2" fontId="0" fillId="3" borderId="0" xfId="0" applyNumberFormat="1" applyFill="1"/>
    <xf numFmtId="164" fontId="3" fillId="10" borderId="0" xfId="1" applyNumberFormat="1" applyFont="1" applyFill="1" applyBorder="1" applyAlignment="1">
      <alignment horizontal="left"/>
    </xf>
    <xf numFmtId="2" fontId="11" fillId="11" borderId="0" xfId="0" applyNumberFormat="1" applyFont="1" applyFill="1"/>
    <xf numFmtId="164" fontId="0" fillId="10" borderId="0" xfId="1" applyNumberFormat="1" applyFont="1" applyFill="1" applyBorder="1" applyAlignment="1">
      <alignment horizontal="left"/>
    </xf>
    <xf numFmtId="3" fontId="3" fillId="8" borderId="0" xfId="0" applyNumberFormat="1" applyFont="1" applyFill="1"/>
    <xf numFmtId="164" fontId="8" fillId="2" borderId="0" xfId="1" applyNumberFormat="1" applyFont="1" applyFill="1" applyBorder="1"/>
    <xf numFmtId="164" fontId="9" fillId="2" borderId="0" xfId="1" applyNumberFormat="1" applyFont="1" applyFill="1" applyBorder="1"/>
    <xf numFmtId="1" fontId="3" fillId="2" borderId="1" xfId="0" applyNumberFormat="1" applyFont="1" applyFill="1" applyBorder="1"/>
    <xf numFmtId="0" fontId="6" fillId="4" borderId="4" xfId="0" applyFont="1" applyFill="1" applyBorder="1"/>
    <xf numFmtId="164" fontId="8" fillId="2" borderId="4" xfId="1" applyNumberFormat="1" applyFont="1" applyFill="1" applyBorder="1"/>
    <xf numFmtId="1" fontId="3" fillId="2" borderId="12" xfId="0" applyNumberFormat="1" applyFont="1" applyFill="1" applyBorder="1"/>
    <xf numFmtId="10" fontId="8" fillId="2" borderId="4" xfId="0" applyNumberFormat="1" applyFont="1" applyFill="1" applyBorder="1"/>
    <xf numFmtId="3" fontId="3" fillId="2" borderId="4" xfId="0" applyNumberFormat="1" applyFont="1" applyFill="1" applyBorder="1"/>
    <xf numFmtId="0" fontId="6" fillId="3" borderId="4" xfId="0" applyFont="1" applyFill="1" applyBorder="1"/>
    <xf numFmtId="164" fontId="3" fillId="2" borderId="4" xfId="0" applyNumberFormat="1" applyFont="1" applyFill="1" applyBorder="1"/>
    <xf numFmtId="14" fontId="3" fillId="2" borderId="0" xfId="0" applyNumberFormat="1" applyFont="1" applyFill="1"/>
    <xf numFmtId="9" fontId="3" fillId="2" borderId="0" xfId="1" applyFont="1" applyFill="1" applyAlignment="1">
      <alignment horizontal="left"/>
    </xf>
    <xf numFmtId="165" fontId="2" fillId="2" borderId="11" xfId="0" applyNumberFormat="1" applyFont="1" applyFill="1" applyBorder="1"/>
    <xf numFmtId="3" fontId="3" fillId="0" borderId="4" xfId="0" applyNumberFormat="1" applyFont="1" applyBorder="1"/>
    <xf numFmtId="164" fontId="8" fillId="2" borderId="4" xfId="0" applyNumberFormat="1" applyFont="1" applyFill="1" applyBorder="1"/>
    <xf numFmtId="164" fontId="8" fillId="2" borderId="0" xfId="0" applyNumberFormat="1" applyFont="1" applyFill="1"/>
    <xf numFmtId="0" fontId="7" fillId="12" borderId="0" xfId="0" applyFont="1" applyFill="1"/>
    <xf numFmtId="164" fontId="7" fillId="12" borderId="0" xfId="1" applyNumberFormat="1" applyFont="1" applyFill="1"/>
    <xf numFmtId="164" fontId="3" fillId="12" borderId="0" xfId="1" applyNumberFormat="1" applyFont="1" applyFill="1"/>
    <xf numFmtId="0" fontId="3" fillId="2" borderId="0" xfId="1" applyNumberFormat="1" applyFont="1" applyFill="1"/>
    <xf numFmtId="10" fontId="8" fillId="2" borderId="0" xfId="0" applyNumberFormat="1" applyFont="1" applyFill="1"/>
    <xf numFmtId="164" fontId="3" fillId="2" borderId="0" xfId="0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D9B77-4948-48A4-A619-C1F4913720ED}">
  <dimension ref="A1:CH69"/>
  <sheetViews>
    <sheetView tabSelected="1" topLeftCell="A46" workbookViewId="0">
      <selection activeCell="G52" sqref="G52"/>
    </sheetView>
  </sheetViews>
  <sheetFormatPr defaultRowHeight="15" x14ac:dyDescent="0.25"/>
  <cols>
    <col min="1" max="1" width="7.7109375" style="2" customWidth="1"/>
    <col min="2" max="2" width="20.140625" style="2" customWidth="1"/>
    <col min="3" max="6" width="9.140625" style="2"/>
    <col min="7" max="7" width="11.5703125" style="2" customWidth="1"/>
    <col min="8" max="8" width="11.28515625" style="2" customWidth="1"/>
    <col min="9" max="13" width="9.140625" style="2"/>
    <col min="14" max="14" width="10.7109375" style="2" bestFit="1" customWidth="1"/>
    <col min="15" max="15" width="9.140625" style="2"/>
    <col min="16" max="16" width="10.7109375" style="2" customWidth="1"/>
    <col min="17" max="18" width="9.140625" style="2"/>
    <col min="19" max="16384" width="9.140625" style="55"/>
  </cols>
  <sheetData>
    <row r="1" spans="1:8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86" ht="23.25" x14ac:dyDescent="0.35">
      <c r="A2" s="3"/>
      <c r="B2" s="4" t="s">
        <v>57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86" ht="21" x14ac:dyDescent="0.35">
      <c r="A3" s="1"/>
      <c r="B3" s="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86" x14ac:dyDescent="0.25">
      <c r="A4" s="1"/>
      <c r="B4" s="6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55"/>
      <c r="Q4" s="55"/>
    </row>
    <row r="5" spans="1:86" x14ac:dyDescent="0.25">
      <c r="A5" s="1"/>
      <c r="B5" s="1"/>
      <c r="C5" s="7" t="s">
        <v>1</v>
      </c>
      <c r="D5" s="1"/>
      <c r="E5" s="8">
        <f>WACC!K14</f>
        <v>0.11988798441906318</v>
      </c>
      <c r="G5" s="1"/>
      <c r="H5" s="1" t="s">
        <v>2</v>
      </c>
      <c r="I5" s="1"/>
      <c r="J5" s="7">
        <v>159.65</v>
      </c>
      <c r="K5" s="1"/>
      <c r="L5" s="1" t="s">
        <v>3</v>
      </c>
      <c r="M5" s="1"/>
      <c r="N5" s="78">
        <f>(J6/J5)-1</f>
        <v>-0.10997930217110463</v>
      </c>
      <c r="O5" s="1"/>
      <c r="P5" s="1"/>
      <c r="Q5" s="1"/>
    </row>
    <row r="6" spans="1:86" x14ac:dyDescent="0.25">
      <c r="A6" s="1"/>
      <c r="B6" s="1"/>
      <c r="C6" s="7" t="s">
        <v>4</v>
      </c>
      <c r="D6" s="1"/>
      <c r="E6" s="8">
        <v>0.03</v>
      </c>
      <c r="G6" s="1"/>
      <c r="H6" s="1" t="s">
        <v>5</v>
      </c>
      <c r="I6" s="1"/>
      <c r="J6" s="7">
        <f>D68</f>
        <v>142.09180440838315</v>
      </c>
      <c r="K6" s="1"/>
      <c r="L6" s="1" t="s">
        <v>53</v>
      </c>
      <c r="M6" s="1"/>
      <c r="N6" s="77">
        <v>45052</v>
      </c>
      <c r="O6" s="1"/>
      <c r="P6" s="1"/>
      <c r="Q6" s="1"/>
    </row>
    <row r="7" spans="1:86" x14ac:dyDescent="0.25">
      <c r="B7" s="77"/>
      <c r="C7" s="1"/>
      <c r="D7" s="1"/>
      <c r="E7" s="9"/>
      <c r="F7" s="1"/>
      <c r="G7" s="1"/>
      <c r="H7" s="1"/>
      <c r="I7" s="1"/>
      <c r="J7" s="1"/>
      <c r="K7" s="1"/>
      <c r="L7" s="61"/>
      <c r="M7" s="1"/>
      <c r="N7" s="1"/>
      <c r="O7" s="1"/>
      <c r="P7" s="1"/>
      <c r="Q7" s="1"/>
    </row>
    <row r="8" spans="1:86" x14ac:dyDescent="0.25">
      <c r="A8" s="1"/>
      <c r="B8" s="12"/>
      <c r="C8" s="1"/>
      <c r="D8" s="1"/>
      <c r="E8" s="41"/>
      <c r="F8" s="1"/>
      <c r="G8" s="1"/>
      <c r="H8" s="12"/>
      <c r="I8" s="1"/>
      <c r="J8" s="1"/>
      <c r="K8" s="1"/>
      <c r="L8" s="1"/>
      <c r="M8" s="1"/>
      <c r="N8" s="1"/>
      <c r="O8" s="1"/>
      <c r="P8" s="1"/>
      <c r="Q8" s="1"/>
    </row>
    <row r="9" spans="1:86" x14ac:dyDescent="0.25">
      <c r="A9" s="1"/>
      <c r="B9" s="1"/>
      <c r="C9" s="1"/>
      <c r="D9" s="1"/>
      <c r="E9" s="1"/>
      <c r="F9" s="1"/>
      <c r="G9" s="1"/>
      <c r="H9" s="1"/>
      <c r="I9" s="1">
        <v>1</v>
      </c>
      <c r="J9" s="1">
        <f>I9+1</f>
        <v>2</v>
      </c>
      <c r="K9" s="1">
        <f t="shared" ref="K9:R9" si="0">J9+1</f>
        <v>3</v>
      </c>
      <c r="L9" s="1">
        <f t="shared" si="0"/>
        <v>4</v>
      </c>
      <c r="M9" s="1">
        <f t="shared" si="0"/>
        <v>5</v>
      </c>
      <c r="N9" s="1">
        <f t="shared" si="0"/>
        <v>6</v>
      </c>
      <c r="O9" s="1">
        <f t="shared" si="0"/>
        <v>7</v>
      </c>
      <c r="P9" s="1">
        <f t="shared" si="0"/>
        <v>8</v>
      </c>
      <c r="Q9" s="1">
        <f t="shared" si="0"/>
        <v>9</v>
      </c>
      <c r="R9" s="1">
        <f t="shared" si="0"/>
        <v>10</v>
      </c>
    </row>
    <row r="10" spans="1:86" x14ac:dyDescent="0.25">
      <c r="A10" s="1"/>
      <c r="B10" s="10" t="s">
        <v>6</v>
      </c>
      <c r="C10" s="10">
        <v>2017</v>
      </c>
      <c r="D10" s="10">
        <v>2018</v>
      </c>
      <c r="E10" s="11">
        <v>2019</v>
      </c>
      <c r="F10" s="10">
        <v>2020</v>
      </c>
      <c r="G10" s="10">
        <v>2021</v>
      </c>
      <c r="H10" s="10">
        <v>2022</v>
      </c>
      <c r="I10" s="70">
        <v>2023</v>
      </c>
      <c r="J10" s="11">
        <v>2024</v>
      </c>
      <c r="K10" s="11">
        <v>2025</v>
      </c>
      <c r="L10" s="11">
        <v>2026</v>
      </c>
      <c r="M10" s="11">
        <v>2027</v>
      </c>
      <c r="N10" s="11">
        <v>2028</v>
      </c>
      <c r="O10" s="11">
        <v>2029</v>
      </c>
      <c r="P10" s="11">
        <v>2030</v>
      </c>
      <c r="Q10" s="11">
        <v>2031</v>
      </c>
      <c r="R10" s="11">
        <v>2032</v>
      </c>
      <c r="S10" s="10">
        <v>2033</v>
      </c>
      <c r="T10" s="10">
        <v>2034</v>
      </c>
      <c r="U10" s="10">
        <v>2035</v>
      </c>
      <c r="V10" s="10">
        <v>2036</v>
      </c>
      <c r="W10" s="10">
        <v>2037</v>
      </c>
      <c r="X10" s="10">
        <v>2038</v>
      </c>
      <c r="Y10" s="10">
        <v>2039</v>
      </c>
      <c r="Z10" s="10">
        <v>2040</v>
      </c>
      <c r="AA10" s="10">
        <v>2041</v>
      </c>
      <c r="AB10" s="10">
        <v>2042</v>
      </c>
      <c r="AC10" s="10">
        <v>2043</v>
      </c>
      <c r="AD10" s="10">
        <v>2044</v>
      </c>
      <c r="AE10" s="10">
        <v>2045</v>
      </c>
      <c r="AF10" s="10">
        <v>2046</v>
      </c>
      <c r="AG10" s="10">
        <v>2047</v>
      </c>
      <c r="AH10" s="10">
        <v>2048</v>
      </c>
      <c r="AI10" s="10">
        <v>2049</v>
      </c>
      <c r="AJ10" s="10">
        <v>2050</v>
      </c>
      <c r="AK10" s="10">
        <v>2051</v>
      </c>
      <c r="AL10" s="10">
        <v>2052</v>
      </c>
      <c r="AM10" s="10">
        <v>2053</v>
      </c>
      <c r="AN10" s="10">
        <v>2054</v>
      </c>
      <c r="AO10" s="10">
        <v>2055</v>
      </c>
      <c r="AP10" s="10">
        <v>2056</v>
      </c>
      <c r="AQ10" s="10">
        <v>2057</v>
      </c>
      <c r="AR10" s="10">
        <v>2058</v>
      </c>
      <c r="AS10" s="10">
        <v>2059</v>
      </c>
      <c r="AT10" s="10">
        <v>2060</v>
      </c>
      <c r="AU10" s="10">
        <v>2061</v>
      </c>
      <c r="AV10" s="10">
        <v>2062</v>
      </c>
      <c r="AW10" s="10">
        <v>2063</v>
      </c>
      <c r="AX10" s="10">
        <v>2064</v>
      </c>
      <c r="AY10" s="10">
        <v>2065</v>
      </c>
      <c r="AZ10" s="10">
        <v>2066</v>
      </c>
      <c r="BA10" s="10">
        <v>2067</v>
      </c>
      <c r="BB10" s="10">
        <v>2068</v>
      </c>
      <c r="BC10" s="10">
        <v>2069</v>
      </c>
      <c r="BD10" s="10">
        <v>2070</v>
      </c>
      <c r="BE10" s="10">
        <v>2071</v>
      </c>
      <c r="BF10" s="10">
        <v>2072</v>
      </c>
      <c r="BG10" s="10">
        <v>2073</v>
      </c>
      <c r="BH10" s="10">
        <v>2074</v>
      </c>
      <c r="BI10" s="10">
        <v>2075</v>
      </c>
      <c r="BJ10" s="10">
        <v>2076</v>
      </c>
      <c r="BK10" s="10">
        <v>2077</v>
      </c>
      <c r="BL10" s="10">
        <v>2078</v>
      </c>
      <c r="BM10" s="10">
        <v>2079</v>
      </c>
      <c r="BN10" s="10">
        <v>2080</v>
      </c>
      <c r="BO10" s="10">
        <v>2081</v>
      </c>
      <c r="BP10" s="10">
        <v>2082</v>
      </c>
      <c r="BQ10" s="10">
        <v>2083</v>
      </c>
      <c r="BR10" s="10">
        <v>2084</v>
      </c>
      <c r="BS10" s="10">
        <v>2085</v>
      </c>
      <c r="BT10" s="10">
        <v>2086</v>
      </c>
      <c r="BU10" s="10">
        <v>2087</v>
      </c>
      <c r="BV10" s="10">
        <v>2088</v>
      </c>
      <c r="BW10" s="10">
        <v>2089</v>
      </c>
      <c r="BX10" s="10">
        <v>2090</v>
      </c>
      <c r="BY10" s="10">
        <v>2091</v>
      </c>
      <c r="BZ10" s="10">
        <v>2092</v>
      </c>
      <c r="CA10" s="10">
        <v>2093</v>
      </c>
      <c r="CB10" s="10">
        <v>2094</v>
      </c>
      <c r="CC10" s="10">
        <v>2095</v>
      </c>
      <c r="CD10" s="10">
        <v>2096</v>
      </c>
      <c r="CE10" s="10">
        <v>2097</v>
      </c>
      <c r="CF10" s="10">
        <v>2098</v>
      </c>
      <c r="CG10" s="10">
        <v>2099</v>
      </c>
      <c r="CH10" s="10">
        <v>2100</v>
      </c>
    </row>
    <row r="11" spans="1:86" x14ac:dyDescent="0.25">
      <c r="A11" s="1"/>
      <c r="B11" s="1" t="s">
        <v>7</v>
      </c>
      <c r="C11" s="12">
        <v>286166</v>
      </c>
      <c r="D11" s="12">
        <v>316159</v>
      </c>
      <c r="E11" s="12">
        <v>624333</v>
      </c>
      <c r="F11" s="12">
        <v>774425</v>
      </c>
      <c r="G11" s="12">
        <v>1382049</v>
      </c>
      <c r="H11" s="12">
        <v>2330853</v>
      </c>
      <c r="I11" s="22">
        <f>H11*(1+I12)</f>
        <v>3050000</v>
      </c>
      <c r="J11" s="19">
        <f>I11*(1+J12)</f>
        <v>3859999.9999999995</v>
      </c>
      <c r="K11" s="19">
        <f t="shared" ref="K11:R11" si="1">J11*(1+K12)</f>
        <v>4747799.9999999991</v>
      </c>
      <c r="L11" s="19">
        <f t="shared" si="1"/>
        <v>5554925.9999999981</v>
      </c>
      <c r="M11" s="19">
        <f t="shared" si="1"/>
        <v>6388164.8999999976</v>
      </c>
      <c r="N11" s="19">
        <f t="shared" si="1"/>
        <v>7282507.9859999977</v>
      </c>
      <c r="O11" s="19">
        <f t="shared" si="1"/>
        <v>8302059.1040399987</v>
      </c>
      <c r="P11" s="19">
        <f t="shared" si="1"/>
        <v>9464347.3786056004</v>
      </c>
      <c r="Q11" s="19">
        <f t="shared" si="1"/>
        <v>10789356.011610385</v>
      </c>
      <c r="R11" s="19">
        <f t="shared" si="1"/>
        <v>12299865.853235841</v>
      </c>
    </row>
    <row r="12" spans="1:86" x14ac:dyDescent="0.25">
      <c r="A12" s="1"/>
      <c r="B12" s="83" t="s">
        <v>8</v>
      </c>
      <c r="C12" s="84"/>
      <c r="D12" s="84">
        <f>(D11/C11)-1</f>
        <v>0.10480979571297788</v>
      </c>
      <c r="E12" s="84">
        <f t="shared" ref="E12:I12" si="2">(E11/D11)-1</f>
        <v>0.97474372072280091</v>
      </c>
      <c r="F12" s="84">
        <f t="shared" si="2"/>
        <v>0.24040375889148891</v>
      </c>
      <c r="G12" s="84">
        <f t="shared" si="2"/>
        <v>0.78461310004196672</v>
      </c>
      <c r="H12" s="84">
        <f t="shared" si="2"/>
        <v>0.68651979777851579</v>
      </c>
      <c r="I12" s="71">
        <v>0.30853382860266176</v>
      </c>
      <c r="J12" s="67">
        <v>0.26557377049180297</v>
      </c>
      <c r="K12" s="67">
        <v>0.23</v>
      </c>
      <c r="L12" s="67">
        <v>0.17</v>
      </c>
      <c r="M12" s="67">
        <v>0.15</v>
      </c>
      <c r="N12" s="67">
        <v>0.14000000000000001</v>
      </c>
      <c r="O12" s="67">
        <v>0.14000000000000001</v>
      </c>
      <c r="P12" s="67">
        <v>0.14000000000000001</v>
      </c>
      <c r="Q12" s="67">
        <v>0.14000000000000001</v>
      </c>
      <c r="R12" s="67">
        <v>0.14000000000000001</v>
      </c>
    </row>
    <row r="13" spans="1:86" x14ac:dyDescent="0.25">
      <c r="A13" s="1"/>
      <c r="B13" s="6"/>
      <c r="C13" s="1"/>
      <c r="D13" s="1"/>
      <c r="E13" s="1"/>
      <c r="F13" s="1"/>
      <c r="G13" s="1"/>
      <c r="H13" s="1"/>
      <c r="I13" s="13"/>
      <c r="J13" s="1"/>
      <c r="K13" s="1"/>
      <c r="L13" s="1"/>
      <c r="M13" s="1"/>
      <c r="N13" s="1"/>
      <c r="O13" s="1"/>
      <c r="P13" s="1"/>
      <c r="Q13" s="1"/>
    </row>
    <row r="14" spans="1:86" x14ac:dyDescent="0.25">
      <c r="A14" s="1"/>
      <c r="B14" s="1" t="s">
        <v>9</v>
      </c>
      <c r="C14" s="12">
        <v>230123</v>
      </c>
      <c r="D14" s="12">
        <v>221714</v>
      </c>
      <c r="E14" s="12">
        <v>403088</v>
      </c>
      <c r="F14" s="12">
        <v>428444</v>
      </c>
      <c r="G14" s="12">
        <v>827627</v>
      </c>
      <c r="H14" s="39">
        <v>1356258</v>
      </c>
      <c r="I14" s="72">
        <f>I11-I16</f>
        <v>1714710</v>
      </c>
      <c r="J14" s="69">
        <f t="shared" ref="J14:K14" si="3">J11-J16</f>
        <v>2153880</v>
      </c>
      <c r="K14" s="69">
        <f t="shared" si="3"/>
        <v>2688204.3599999994</v>
      </c>
      <c r="L14" s="69">
        <f t="shared" ref="L14:R14" si="4">L11-L16</f>
        <v>3145199.101199999</v>
      </c>
      <c r="M14" s="69">
        <f t="shared" si="4"/>
        <v>3616978.9663799987</v>
      </c>
      <c r="N14" s="69">
        <f t="shared" si="4"/>
        <v>4078204.4721599985</v>
      </c>
      <c r="O14" s="69">
        <f t="shared" si="4"/>
        <v>4649153.0982623994</v>
      </c>
      <c r="P14" s="69">
        <f t="shared" si="4"/>
        <v>5205391.0582330804</v>
      </c>
      <c r="Q14" s="69">
        <f t="shared" si="4"/>
        <v>5934145.8063857118</v>
      </c>
      <c r="R14" s="69">
        <f t="shared" si="4"/>
        <v>6764926.2192797121</v>
      </c>
    </row>
    <row r="15" spans="1:86" x14ac:dyDescent="0.25">
      <c r="A15" s="1"/>
      <c r="B15" s="18"/>
      <c r="C15" s="18"/>
      <c r="D15" s="18"/>
      <c r="E15" s="18"/>
      <c r="F15" s="18"/>
      <c r="G15" s="18"/>
      <c r="H15" s="18"/>
      <c r="I15" s="13"/>
      <c r="J15" s="1"/>
      <c r="K15" s="1"/>
      <c r="L15" s="1"/>
      <c r="M15" s="1"/>
      <c r="N15" s="1"/>
      <c r="O15" s="1"/>
      <c r="P15" s="1"/>
      <c r="Q15" s="1"/>
    </row>
    <row r="16" spans="1:86" x14ac:dyDescent="0.25">
      <c r="A16" s="1"/>
      <c r="B16" s="1" t="s">
        <v>10</v>
      </c>
      <c r="C16" s="12">
        <f t="shared" ref="C16:E16" si="5">C11-C14</f>
        <v>56043</v>
      </c>
      <c r="D16" s="12">
        <f t="shared" si="5"/>
        <v>94445</v>
      </c>
      <c r="E16" s="12">
        <f t="shared" si="5"/>
        <v>221245</v>
      </c>
      <c r="F16" s="12">
        <f t="shared" ref="F16" si="6">F11-F14</f>
        <v>345981</v>
      </c>
      <c r="G16" s="12">
        <f>G11-G14</f>
        <v>554422</v>
      </c>
      <c r="H16" s="12">
        <f>H11-H14</f>
        <v>974595</v>
      </c>
      <c r="I16" s="22">
        <f>I11*I17</f>
        <v>1335290</v>
      </c>
      <c r="J16" s="19">
        <f t="shared" ref="J16:R16" si="7">J11*J17</f>
        <v>1706119.9999999998</v>
      </c>
      <c r="K16" s="19">
        <f t="shared" si="7"/>
        <v>2059595.6399999997</v>
      </c>
      <c r="L16" s="19">
        <f t="shared" si="7"/>
        <v>2409726.8987999992</v>
      </c>
      <c r="M16" s="19">
        <f t="shared" si="7"/>
        <v>2771185.9336199989</v>
      </c>
      <c r="N16" s="19">
        <f t="shared" si="7"/>
        <v>3204303.5138399992</v>
      </c>
      <c r="O16" s="19">
        <f t="shared" si="7"/>
        <v>3652906.0057775993</v>
      </c>
      <c r="P16" s="19">
        <f t="shared" si="7"/>
        <v>4258956.32037252</v>
      </c>
      <c r="Q16" s="19">
        <f t="shared" si="7"/>
        <v>4855210.2052246733</v>
      </c>
      <c r="R16" s="19">
        <f t="shared" si="7"/>
        <v>5534939.6339561287</v>
      </c>
    </row>
    <row r="17" spans="1:18" x14ac:dyDescent="0.25">
      <c r="A17" s="1"/>
      <c r="B17" s="83" t="s">
        <v>11</v>
      </c>
      <c r="C17" s="84">
        <f>C16/C11</f>
        <v>0.19584087557571481</v>
      </c>
      <c r="D17" s="84">
        <f t="shared" ref="D17:H17" si="8">D16/D11</f>
        <v>0.29872627380526889</v>
      </c>
      <c r="E17" s="84">
        <f t="shared" si="8"/>
        <v>0.35437018386021563</v>
      </c>
      <c r="F17" s="84">
        <f t="shared" si="8"/>
        <v>0.44675856280466153</v>
      </c>
      <c r="G17" s="84">
        <f t="shared" si="8"/>
        <v>0.40115943790704961</v>
      </c>
      <c r="H17" s="84">
        <f t="shared" si="8"/>
        <v>0.41812804153672495</v>
      </c>
      <c r="I17" s="81">
        <v>0.43780000000000002</v>
      </c>
      <c r="J17" s="82">
        <v>0.442</v>
      </c>
      <c r="K17" s="82">
        <v>0.43380000000000002</v>
      </c>
      <c r="L17" s="82">
        <f>K17</f>
        <v>0.43380000000000002</v>
      </c>
      <c r="M17" s="82">
        <f t="shared" ref="M17" si="9">L17</f>
        <v>0.43380000000000002</v>
      </c>
      <c r="N17" s="82">
        <v>0.44</v>
      </c>
      <c r="O17" s="82">
        <v>0.44</v>
      </c>
      <c r="P17" s="82">
        <v>0.45</v>
      </c>
      <c r="Q17" s="82">
        <v>0.45</v>
      </c>
      <c r="R17" s="82">
        <v>0.45</v>
      </c>
    </row>
    <row r="18" spans="1:18" x14ac:dyDescent="0.25">
      <c r="A18" s="1"/>
      <c r="B18" s="6"/>
      <c r="C18" s="1"/>
      <c r="D18" s="1"/>
      <c r="E18" s="1"/>
      <c r="F18" s="1"/>
      <c r="G18" s="1"/>
      <c r="H18" s="1"/>
      <c r="I18" s="13"/>
      <c r="J18" s="1"/>
      <c r="K18" s="1"/>
      <c r="L18" s="1"/>
      <c r="M18" s="1"/>
      <c r="N18" s="1"/>
      <c r="O18" s="1"/>
      <c r="P18" s="1"/>
      <c r="Q18" s="1"/>
    </row>
    <row r="19" spans="1:18" x14ac:dyDescent="0.25">
      <c r="A19" s="1"/>
      <c r="B19" s="1" t="s">
        <v>12</v>
      </c>
      <c r="C19" s="12">
        <v>33157</v>
      </c>
      <c r="D19" s="12">
        <v>32587</v>
      </c>
      <c r="E19" s="12">
        <v>40381</v>
      </c>
      <c r="F19" s="12">
        <v>55921</v>
      </c>
      <c r="G19" s="12">
        <v>105526</v>
      </c>
      <c r="H19" s="12">
        <v>168846</v>
      </c>
      <c r="I19" s="22">
        <f>I20*I11</f>
        <v>225700</v>
      </c>
      <c r="J19" s="19">
        <f t="shared" ref="J19:R19" si="10">J20*J11</f>
        <v>285639.99999999994</v>
      </c>
      <c r="K19" s="19">
        <f t="shared" si="10"/>
        <v>351337.1999999999</v>
      </c>
      <c r="L19" s="19">
        <f t="shared" si="10"/>
        <v>411064.52399999986</v>
      </c>
      <c r="M19" s="19">
        <f t="shared" si="10"/>
        <v>472724.20259999979</v>
      </c>
      <c r="N19" s="19">
        <f t="shared" si="10"/>
        <v>538905.59096399986</v>
      </c>
      <c r="O19" s="19">
        <f t="shared" si="10"/>
        <v>614352.37369895983</v>
      </c>
      <c r="P19" s="19">
        <f t="shared" si="10"/>
        <v>700361.70601681445</v>
      </c>
      <c r="Q19" s="19">
        <f t="shared" si="10"/>
        <v>798412.3448591684</v>
      </c>
      <c r="R19" s="19">
        <f t="shared" si="10"/>
        <v>910190.07313945214</v>
      </c>
    </row>
    <row r="20" spans="1:18" x14ac:dyDescent="0.25">
      <c r="A20" s="1"/>
      <c r="B20" s="83" t="s">
        <v>18</v>
      </c>
      <c r="C20" s="84">
        <f>C19/C11</f>
        <v>0.11586631535542308</v>
      </c>
      <c r="D20" s="84">
        <f t="shared" ref="D20:H20" si="11">D19/D11</f>
        <v>0.10307155576782569</v>
      </c>
      <c r="E20" s="84">
        <f t="shared" si="11"/>
        <v>6.467862502863056E-2</v>
      </c>
      <c r="F20" s="84">
        <f t="shared" si="11"/>
        <v>7.2209703973916128E-2</v>
      </c>
      <c r="G20" s="84">
        <f t="shared" si="11"/>
        <v>7.6354745743457728E-2</v>
      </c>
      <c r="H20" s="84">
        <f t="shared" si="11"/>
        <v>7.2439574696473774E-2</v>
      </c>
      <c r="I20" s="71">
        <v>7.3999999999999996E-2</v>
      </c>
      <c r="J20" s="67">
        <v>7.3999999999999996E-2</v>
      </c>
      <c r="K20" s="67">
        <v>7.3999999999999996E-2</v>
      </c>
      <c r="L20" s="67">
        <v>7.3999999999999996E-2</v>
      </c>
      <c r="M20" s="67">
        <v>7.3999999999999996E-2</v>
      </c>
      <c r="N20" s="67">
        <v>7.3999999999999996E-2</v>
      </c>
      <c r="O20" s="67">
        <v>7.3999999999999996E-2</v>
      </c>
      <c r="P20" s="67">
        <v>7.3999999999999996E-2</v>
      </c>
      <c r="Q20" s="67">
        <v>7.3999999999999996E-2</v>
      </c>
      <c r="R20" s="67">
        <v>7.3999999999999996E-2</v>
      </c>
    </row>
    <row r="21" spans="1:18" x14ac:dyDescent="0.25">
      <c r="A21" s="1"/>
      <c r="B21" s="14"/>
      <c r="C21" s="12"/>
      <c r="D21" s="12"/>
      <c r="E21" s="12"/>
      <c r="F21" s="12"/>
      <c r="G21" s="12"/>
      <c r="H21" s="12"/>
      <c r="I21" s="22"/>
      <c r="J21" s="19"/>
      <c r="K21" s="19"/>
      <c r="L21" s="19"/>
      <c r="M21" s="19"/>
      <c r="N21" s="19"/>
      <c r="O21" s="19"/>
      <c r="P21" s="19"/>
      <c r="Q21" s="19"/>
      <c r="R21" s="19"/>
    </row>
    <row r="22" spans="1:18" x14ac:dyDescent="0.25">
      <c r="A22" s="1"/>
      <c r="B22" s="1" t="s">
        <v>54</v>
      </c>
      <c r="C22" s="12">
        <v>23126</v>
      </c>
      <c r="D22" s="12">
        <v>27047</v>
      </c>
      <c r="E22" s="12">
        <v>36728</v>
      </c>
      <c r="F22" s="12">
        <v>52927</v>
      </c>
      <c r="G22" s="12">
        <v>128974</v>
      </c>
      <c r="H22" s="12">
        <v>215102</v>
      </c>
      <c r="I22" s="22">
        <f>I23*I11</f>
        <v>287568.2436000898</v>
      </c>
      <c r="J22" s="19">
        <f t="shared" ref="J22:R22" si="12">J23*J11</f>
        <v>367798.82632667094</v>
      </c>
      <c r="K22" s="19">
        <f t="shared" si="12"/>
        <v>457140.35638180526</v>
      </c>
      <c r="L22" s="19">
        <f t="shared" si="12"/>
        <v>540409.14296671201</v>
      </c>
      <c r="M22" s="19">
        <f t="shared" si="12"/>
        <v>627858.67931171879</v>
      </c>
      <c r="N22" s="19">
        <f t="shared" si="12"/>
        <v>723041.40240135952</v>
      </c>
      <c r="O22" s="19">
        <f t="shared" si="12"/>
        <v>832569.25784158998</v>
      </c>
      <c r="P22" s="19">
        <f t="shared" si="12"/>
        <v>958593.30131801846</v>
      </c>
      <c r="Q22" s="19">
        <f t="shared" si="12"/>
        <v>1103585.7195141513</v>
      </c>
      <c r="R22" s="19">
        <f t="shared" si="12"/>
        <v>1270387.5860993688</v>
      </c>
    </row>
    <row r="23" spans="1:18" x14ac:dyDescent="0.25">
      <c r="A23" s="1"/>
      <c r="B23" s="83" t="s">
        <v>18</v>
      </c>
      <c r="C23" s="84">
        <f>C22/C11</f>
        <v>8.0813234276608678E-2</v>
      </c>
      <c r="D23" s="84">
        <f t="shared" ref="D23:H23" si="13">D22/D11</f>
        <v>8.5548727064546637E-2</v>
      </c>
      <c r="E23" s="84">
        <f t="shared" si="13"/>
        <v>5.8827580794223594E-2</v>
      </c>
      <c r="F23" s="84">
        <f t="shared" si="13"/>
        <v>6.8343609774994346E-2</v>
      </c>
      <c r="G23" s="84">
        <f t="shared" si="13"/>
        <v>9.3320859101233028E-2</v>
      </c>
      <c r="H23" s="84">
        <f t="shared" si="13"/>
        <v>9.2284670032816318E-2</v>
      </c>
      <c r="I23" s="67">
        <f>H23+0.2%</f>
        <v>9.428467003281632E-2</v>
      </c>
      <c r="J23" s="67">
        <f t="shared" ref="J23:R23" si="14">I23+0.1%</f>
        <v>9.5284670032816321E-2</v>
      </c>
      <c r="K23" s="67">
        <f t="shared" si="14"/>
        <v>9.6284670032816322E-2</v>
      </c>
      <c r="L23" s="67">
        <f t="shared" si="14"/>
        <v>9.7284670032816323E-2</v>
      </c>
      <c r="M23" s="67">
        <f t="shared" si="14"/>
        <v>9.8284670032816324E-2</v>
      </c>
      <c r="N23" s="67">
        <f t="shared" si="14"/>
        <v>9.9284670032816325E-2</v>
      </c>
      <c r="O23" s="67">
        <f t="shared" si="14"/>
        <v>0.10028467003281633</v>
      </c>
      <c r="P23" s="67">
        <f t="shared" si="14"/>
        <v>0.10128467003281633</v>
      </c>
      <c r="Q23" s="67">
        <f t="shared" si="14"/>
        <v>0.10228467003281633</v>
      </c>
      <c r="R23" s="67">
        <f t="shared" si="14"/>
        <v>0.10328467003281633</v>
      </c>
    </row>
    <row r="24" spans="1:18" x14ac:dyDescent="0.25">
      <c r="A24" s="1"/>
      <c r="B24" s="14"/>
      <c r="C24" s="12"/>
      <c r="D24" s="12"/>
      <c r="E24" s="12"/>
      <c r="F24" s="12"/>
      <c r="G24" s="12"/>
      <c r="H24" s="12"/>
      <c r="I24" s="74"/>
      <c r="J24" s="12"/>
      <c r="K24" s="12"/>
      <c r="L24" s="12"/>
      <c r="M24" s="12"/>
      <c r="N24" s="12"/>
      <c r="O24" s="12"/>
      <c r="P24" s="12"/>
      <c r="Q24" s="12"/>
      <c r="R24" s="12"/>
    </row>
    <row r="25" spans="1:18" x14ac:dyDescent="0.25">
      <c r="A25" s="1"/>
      <c r="B25" s="1" t="s">
        <v>55</v>
      </c>
      <c r="C25" s="12">
        <v>22221</v>
      </c>
      <c r="D25" s="12">
        <v>29086</v>
      </c>
      <c r="E25" s="12">
        <v>38808</v>
      </c>
      <c r="F25" s="12">
        <v>50694</v>
      </c>
      <c r="G25" s="12">
        <v>104090</v>
      </c>
      <c r="H25" s="12">
        <v>140002</v>
      </c>
      <c r="I25" s="74">
        <f t="shared" ref="I25:R25" si="15">I26*I11</f>
        <v>183000</v>
      </c>
      <c r="J25" s="12">
        <f t="shared" si="15"/>
        <v>239319.99999999997</v>
      </c>
      <c r="K25" s="12">
        <f t="shared" si="15"/>
        <v>306233.09999999998</v>
      </c>
      <c r="L25" s="12">
        <f t="shared" si="15"/>
        <v>372180.0419999999</v>
      </c>
      <c r="M25" s="12">
        <f t="shared" si="15"/>
        <v>443977.46054999984</v>
      </c>
      <c r="N25" s="12">
        <f t="shared" si="15"/>
        <v>524340.57499199989</v>
      </c>
      <c r="O25" s="12">
        <f t="shared" si="15"/>
        <v>618503.40325097996</v>
      </c>
      <c r="P25" s="12">
        <f t="shared" si="15"/>
        <v>728754.74815263133</v>
      </c>
      <c r="Q25" s="12">
        <f t="shared" si="15"/>
        <v>857753.8029230258</v>
      </c>
      <c r="R25" s="12">
        <f t="shared" si="15"/>
        <v>1008588.9999653392</v>
      </c>
    </row>
    <row r="26" spans="1:18" x14ac:dyDescent="0.25">
      <c r="A26" s="1"/>
      <c r="B26" s="83" t="s">
        <v>18</v>
      </c>
      <c r="C26" s="84">
        <f t="shared" ref="C26:H26" si="16">C25/C11</f>
        <v>7.7650734189246798E-2</v>
      </c>
      <c r="D26" s="84">
        <f t="shared" si="16"/>
        <v>9.1998013657684896E-2</v>
      </c>
      <c r="E26" s="84">
        <f t="shared" si="16"/>
        <v>6.2159136230184854E-2</v>
      </c>
      <c r="F26" s="84">
        <f t="shared" si="16"/>
        <v>6.5460180133647544E-2</v>
      </c>
      <c r="G26" s="84">
        <f t="shared" si="16"/>
        <v>7.531570877732989E-2</v>
      </c>
      <c r="H26" s="84">
        <f t="shared" si="16"/>
        <v>6.0064705925255688E-2</v>
      </c>
      <c r="I26" s="20">
        <v>0.06</v>
      </c>
      <c r="J26" s="68">
        <v>6.2E-2</v>
      </c>
      <c r="K26" s="68">
        <f>J26+0.25%</f>
        <v>6.4500000000000002E-2</v>
      </c>
      <c r="L26" s="68">
        <f t="shared" ref="L26:R26" si="17">K26+0.25%</f>
        <v>6.7000000000000004E-2</v>
      </c>
      <c r="M26" s="68">
        <f t="shared" si="17"/>
        <v>6.9500000000000006E-2</v>
      </c>
      <c r="N26" s="68">
        <f t="shared" si="17"/>
        <v>7.2000000000000008E-2</v>
      </c>
      <c r="O26" s="68">
        <f t="shared" si="17"/>
        <v>7.4500000000000011E-2</v>
      </c>
      <c r="P26" s="68">
        <f t="shared" si="17"/>
        <v>7.7000000000000013E-2</v>
      </c>
      <c r="Q26" s="68">
        <f t="shared" si="17"/>
        <v>7.9500000000000015E-2</v>
      </c>
      <c r="R26" s="68">
        <f t="shared" si="17"/>
        <v>8.2000000000000017E-2</v>
      </c>
    </row>
    <row r="27" spans="1:18" x14ac:dyDescent="0.25">
      <c r="A27" s="1"/>
      <c r="B27" s="14"/>
      <c r="C27" s="15"/>
      <c r="D27" s="15"/>
      <c r="E27" s="15"/>
      <c r="F27" s="15"/>
      <c r="G27" s="15"/>
      <c r="H27" s="15"/>
      <c r="I27" s="20"/>
      <c r="J27" s="68"/>
      <c r="K27" s="68"/>
      <c r="L27" s="68"/>
      <c r="M27" s="68"/>
      <c r="N27" s="68"/>
      <c r="O27" s="68"/>
      <c r="P27" s="68"/>
      <c r="Q27" s="68"/>
      <c r="R27" s="68"/>
    </row>
    <row r="28" spans="1:18" x14ac:dyDescent="0.25">
      <c r="A28" s="1"/>
      <c r="B28" s="1" t="s">
        <v>56</v>
      </c>
      <c r="C28" s="1">
        <v>16917</v>
      </c>
      <c r="D28" s="1">
        <v>4129</v>
      </c>
      <c r="E28" s="1">
        <v>2599</v>
      </c>
      <c r="F28" s="12">
        <v>0</v>
      </c>
      <c r="G28" s="12">
        <v>0</v>
      </c>
      <c r="H28" s="12">
        <v>2384</v>
      </c>
      <c r="I28" s="13"/>
      <c r="J28" s="1"/>
      <c r="K28" s="1"/>
      <c r="L28" s="1"/>
      <c r="M28" s="1"/>
      <c r="N28" s="1"/>
      <c r="O28" s="1"/>
      <c r="P28" s="1"/>
      <c r="Q28" s="1"/>
    </row>
    <row r="29" spans="1:18" x14ac:dyDescent="0.25">
      <c r="A29" s="1"/>
      <c r="B29" s="1"/>
      <c r="C29" s="1"/>
      <c r="D29" s="1"/>
      <c r="E29" s="1"/>
      <c r="F29" s="12"/>
      <c r="G29" s="12"/>
      <c r="H29" s="12"/>
      <c r="I29" s="13"/>
      <c r="J29" s="1"/>
      <c r="K29" s="1"/>
      <c r="L29" s="1"/>
      <c r="M29" s="1"/>
      <c r="N29" s="1"/>
      <c r="O29" s="1"/>
      <c r="P29" s="1"/>
      <c r="Q29" s="1"/>
    </row>
    <row r="30" spans="1:18" x14ac:dyDescent="0.25">
      <c r="A30" s="1"/>
      <c r="B30" s="1" t="s">
        <v>13</v>
      </c>
      <c r="C30" s="12">
        <f t="shared" ref="C30:D30" si="18">C19+C22+C25+C28</f>
        <v>95421</v>
      </c>
      <c r="D30" s="12">
        <f t="shared" si="18"/>
        <v>92849</v>
      </c>
      <c r="E30" s="12">
        <f>E19+E22+E25+E28</f>
        <v>118516</v>
      </c>
      <c r="F30" s="12">
        <f t="shared" ref="F30:G30" si="19">F19+F22+F25+F28</f>
        <v>159542</v>
      </c>
      <c r="G30" s="12">
        <f t="shared" si="19"/>
        <v>338590</v>
      </c>
      <c r="H30" s="12">
        <f>H19+H22+H25+H28</f>
        <v>526334</v>
      </c>
      <c r="I30" s="74">
        <f t="shared" ref="I30:R30" si="20">I19+I22+I25+I28</f>
        <v>696268.2436000898</v>
      </c>
      <c r="J30" s="12">
        <f t="shared" si="20"/>
        <v>892758.82632667082</v>
      </c>
      <c r="K30" s="12">
        <f t="shared" si="20"/>
        <v>1114710.656381805</v>
      </c>
      <c r="L30" s="12">
        <f t="shared" si="20"/>
        <v>1323653.7089667118</v>
      </c>
      <c r="M30" s="12">
        <f t="shared" si="20"/>
        <v>1544560.3424617182</v>
      </c>
      <c r="N30" s="12">
        <f t="shared" si="20"/>
        <v>1786287.5683573594</v>
      </c>
      <c r="O30" s="12">
        <f t="shared" si="20"/>
        <v>2065425.0347915299</v>
      </c>
      <c r="P30" s="12">
        <f t="shared" si="20"/>
        <v>2387709.7554874644</v>
      </c>
      <c r="Q30" s="12">
        <f t="shared" si="20"/>
        <v>2759751.8672963455</v>
      </c>
      <c r="R30" s="12">
        <f t="shared" si="20"/>
        <v>3189166.6592041599</v>
      </c>
    </row>
    <row r="31" spans="1:18" x14ac:dyDescent="0.25">
      <c r="A31" s="1"/>
      <c r="B31" s="83" t="s">
        <v>18</v>
      </c>
      <c r="C31" s="84">
        <f t="shared" ref="C31:R31" si="21">C30/C11</f>
        <v>0.33344632136592051</v>
      </c>
      <c r="D31" s="84">
        <f t="shared" si="21"/>
        <v>0.29367818091529896</v>
      </c>
      <c r="E31" s="84">
        <f t="shared" si="21"/>
        <v>0.18982818463864637</v>
      </c>
      <c r="F31" s="84">
        <f t="shared" si="21"/>
        <v>0.20601349388255802</v>
      </c>
      <c r="G31" s="84">
        <f t="shared" si="21"/>
        <v>0.24499131362202065</v>
      </c>
      <c r="H31" s="84">
        <f t="shared" si="21"/>
        <v>0.22581175217827978</v>
      </c>
      <c r="I31" s="20">
        <f t="shared" si="21"/>
        <v>0.22828467003281633</v>
      </c>
      <c r="J31" s="68">
        <f t="shared" si="21"/>
        <v>0.2312846700328163</v>
      </c>
      <c r="K31" s="68">
        <f t="shared" si="21"/>
        <v>0.23478467003281628</v>
      </c>
      <c r="L31" s="68">
        <f t="shared" si="21"/>
        <v>0.23828467003281631</v>
      </c>
      <c r="M31" s="68">
        <f t="shared" si="21"/>
        <v>0.24178467003281628</v>
      </c>
      <c r="N31" s="68">
        <f t="shared" si="21"/>
        <v>0.24528467003281634</v>
      </c>
      <c r="O31" s="68">
        <f t="shared" si="21"/>
        <v>0.24878467003281632</v>
      </c>
      <c r="P31" s="68">
        <f t="shared" si="21"/>
        <v>0.25228467003281635</v>
      </c>
      <c r="Q31" s="68">
        <f t="shared" si="21"/>
        <v>0.25578467003281635</v>
      </c>
      <c r="R31" s="68">
        <f t="shared" si="21"/>
        <v>0.25928467003281636</v>
      </c>
    </row>
    <row r="32" spans="1:18" x14ac:dyDescent="0.25">
      <c r="A32" s="1"/>
      <c r="B32" s="1"/>
      <c r="C32" s="15"/>
      <c r="D32" s="15"/>
      <c r="E32" s="15"/>
      <c r="F32" s="15"/>
      <c r="G32" s="15"/>
      <c r="H32" s="15"/>
      <c r="I32" s="21"/>
      <c r="J32" s="54"/>
      <c r="K32" s="54"/>
      <c r="L32" s="54"/>
      <c r="M32" s="54"/>
      <c r="N32" s="54"/>
      <c r="O32" s="54"/>
      <c r="P32" s="54"/>
      <c r="Q32" s="54"/>
      <c r="R32" s="54"/>
    </row>
    <row r="33" spans="1:86" x14ac:dyDescent="0.25">
      <c r="A33" s="1"/>
      <c r="B33" s="1" t="s">
        <v>14</v>
      </c>
      <c r="C33" s="12">
        <f t="shared" ref="C33:G33" si="22">C16-C30</f>
        <v>-39378</v>
      </c>
      <c r="D33" s="12">
        <f t="shared" si="22"/>
        <v>1596</v>
      </c>
      <c r="E33" s="12">
        <f t="shared" si="22"/>
        <v>102729</v>
      </c>
      <c r="F33" s="12">
        <f t="shared" si="22"/>
        <v>186439</v>
      </c>
      <c r="G33" s="12">
        <f t="shared" si="22"/>
        <v>215832</v>
      </c>
      <c r="H33" s="12">
        <f>H16-H30</f>
        <v>448261</v>
      </c>
      <c r="I33" s="74">
        <f>I16-I30</f>
        <v>639021.7563999102</v>
      </c>
      <c r="J33" s="12">
        <f t="shared" ref="J33:R33" si="23">J16-J30</f>
        <v>813361.17367332894</v>
      </c>
      <c r="K33" s="12">
        <f t="shared" si="23"/>
        <v>944884.9836181947</v>
      </c>
      <c r="L33" s="12">
        <f t="shared" si="23"/>
        <v>1086073.1898332874</v>
      </c>
      <c r="M33" s="12">
        <f t="shared" si="23"/>
        <v>1226625.5911582806</v>
      </c>
      <c r="N33" s="12">
        <f t="shared" si="23"/>
        <v>1418015.9454826398</v>
      </c>
      <c r="O33" s="12">
        <f t="shared" si="23"/>
        <v>1587480.9709860694</v>
      </c>
      <c r="P33" s="12">
        <f t="shared" si="23"/>
        <v>1871246.5648850556</v>
      </c>
      <c r="Q33" s="12">
        <f t="shared" si="23"/>
        <v>2095458.3379283277</v>
      </c>
      <c r="R33" s="12">
        <f t="shared" si="23"/>
        <v>2345772.9747519689</v>
      </c>
    </row>
    <row r="34" spans="1:86" x14ac:dyDescent="0.25">
      <c r="A34" s="1"/>
      <c r="B34" s="1" t="s">
        <v>15</v>
      </c>
      <c r="C34" s="86">
        <v>-5963</v>
      </c>
      <c r="D34" s="86">
        <v>-11825</v>
      </c>
      <c r="E34" s="86">
        <v>-12615</v>
      </c>
      <c r="F34" s="86">
        <v>-67029</v>
      </c>
      <c r="G34" s="86">
        <v>-94904</v>
      </c>
      <c r="H34" s="86">
        <v>3787</v>
      </c>
      <c r="I34" s="24">
        <f>-0.5%*I11</f>
        <v>-15250</v>
      </c>
      <c r="J34" s="2">
        <f t="shared" ref="J34:R34" si="24">-0.5%*J11</f>
        <v>-19299.999999999996</v>
      </c>
      <c r="K34" s="2">
        <f t="shared" si="24"/>
        <v>-23738.999999999996</v>
      </c>
      <c r="L34" s="2">
        <f t="shared" si="24"/>
        <v>-27774.62999999999</v>
      </c>
      <c r="M34" s="2">
        <f t="shared" si="24"/>
        <v>-31940.824499999988</v>
      </c>
      <c r="N34" s="2">
        <f t="shared" si="24"/>
        <v>-36412.539929999992</v>
      </c>
      <c r="O34" s="2">
        <f t="shared" si="24"/>
        <v>-41510.295520199994</v>
      </c>
      <c r="P34" s="2">
        <f t="shared" si="24"/>
        <v>-47321.736893028006</v>
      </c>
      <c r="Q34" s="2">
        <f t="shared" si="24"/>
        <v>-53946.780058051925</v>
      </c>
      <c r="R34" s="2">
        <f t="shared" si="24"/>
        <v>-61499.329266179207</v>
      </c>
    </row>
    <row r="35" spans="1:86" x14ac:dyDescent="0.25">
      <c r="A35" s="1"/>
      <c r="B35" s="14"/>
      <c r="C35" s="23"/>
      <c r="D35" s="23"/>
      <c r="E35" s="23"/>
      <c r="F35" s="86"/>
      <c r="G35" s="86"/>
      <c r="H35" s="86"/>
      <c r="I35" s="24"/>
    </row>
    <row r="36" spans="1:86" x14ac:dyDescent="0.25">
      <c r="A36" s="1"/>
      <c r="B36" s="1" t="s">
        <v>16</v>
      </c>
      <c r="C36" s="12">
        <f t="shared" ref="C36:H36" si="25">C33+C34</f>
        <v>-45341</v>
      </c>
      <c r="D36" s="12">
        <f t="shared" si="25"/>
        <v>-10229</v>
      </c>
      <c r="E36" s="12">
        <f t="shared" si="25"/>
        <v>90114</v>
      </c>
      <c r="F36" s="12">
        <f t="shared" si="25"/>
        <v>119410</v>
      </c>
      <c r="G36" s="12">
        <f t="shared" si="25"/>
        <v>120928</v>
      </c>
      <c r="H36" s="12">
        <f t="shared" si="25"/>
        <v>452048</v>
      </c>
      <c r="I36" s="74">
        <f t="shared" ref="I36:R36" si="26">I33+I34</f>
        <v>623771.7563999102</v>
      </c>
      <c r="J36" s="12">
        <f t="shared" si="26"/>
        <v>794061.17367332894</v>
      </c>
      <c r="K36" s="12">
        <f t="shared" si="26"/>
        <v>921145.9836181947</v>
      </c>
      <c r="L36" s="12">
        <f t="shared" si="26"/>
        <v>1058298.5598332875</v>
      </c>
      <c r="M36" s="12">
        <f t="shared" si="26"/>
        <v>1194684.7666582805</v>
      </c>
      <c r="N36" s="12">
        <f t="shared" si="26"/>
        <v>1381603.4055526399</v>
      </c>
      <c r="O36" s="12">
        <f t="shared" si="26"/>
        <v>1545970.6754658695</v>
      </c>
      <c r="P36" s="12">
        <f t="shared" si="26"/>
        <v>1823924.8279920276</v>
      </c>
      <c r="Q36" s="12">
        <f t="shared" si="26"/>
        <v>2041511.5578702758</v>
      </c>
      <c r="R36" s="12">
        <f t="shared" si="26"/>
        <v>2284273.6454857895</v>
      </c>
    </row>
    <row r="37" spans="1:86" x14ac:dyDescent="0.25">
      <c r="A37" s="1"/>
      <c r="B37" s="1"/>
      <c r="C37" s="23"/>
      <c r="D37" s="23"/>
      <c r="E37" s="23"/>
      <c r="F37" s="23"/>
      <c r="G37" s="23"/>
      <c r="H37" s="23"/>
      <c r="I37" s="13"/>
      <c r="J37" s="1"/>
      <c r="K37" s="1"/>
      <c r="L37" s="1"/>
      <c r="M37" s="1"/>
      <c r="N37" s="1"/>
      <c r="O37" s="1"/>
      <c r="P37" s="1"/>
      <c r="Q37" s="1"/>
    </row>
    <row r="38" spans="1:86" x14ac:dyDescent="0.25">
      <c r="A38" s="1"/>
      <c r="B38" s="1" t="s">
        <v>17</v>
      </c>
      <c r="C38" s="12">
        <f t="shared" ref="C38:I38" si="27">C33</f>
        <v>-39378</v>
      </c>
      <c r="D38" s="12">
        <f t="shared" si="27"/>
        <v>1596</v>
      </c>
      <c r="E38" s="12">
        <f t="shared" si="27"/>
        <v>102729</v>
      </c>
      <c r="F38" s="12">
        <f t="shared" si="27"/>
        <v>186439</v>
      </c>
      <c r="G38" s="12">
        <f t="shared" si="27"/>
        <v>215832</v>
      </c>
      <c r="H38" s="12">
        <f t="shared" si="27"/>
        <v>448261</v>
      </c>
      <c r="I38" s="74">
        <f>I33</f>
        <v>639021.7563999102</v>
      </c>
      <c r="J38" s="12">
        <f t="shared" ref="J38:R38" si="28">J33</f>
        <v>813361.17367332894</v>
      </c>
      <c r="K38" s="12">
        <f t="shared" si="28"/>
        <v>944884.9836181947</v>
      </c>
      <c r="L38" s="12">
        <f t="shared" si="28"/>
        <v>1086073.1898332874</v>
      </c>
      <c r="M38" s="12">
        <f t="shared" si="28"/>
        <v>1226625.5911582806</v>
      </c>
      <c r="N38" s="12">
        <f t="shared" si="28"/>
        <v>1418015.9454826398</v>
      </c>
      <c r="O38" s="12">
        <f t="shared" si="28"/>
        <v>1587480.9709860694</v>
      </c>
      <c r="P38" s="12">
        <f t="shared" si="28"/>
        <v>1871246.5648850556</v>
      </c>
      <c r="Q38" s="12">
        <f t="shared" si="28"/>
        <v>2095458.3379283277</v>
      </c>
      <c r="R38" s="12">
        <f t="shared" si="28"/>
        <v>2345772.9747519689</v>
      </c>
    </row>
    <row r="39" spans="1:86" x14ac:dyDescent="0.25">
      <c r="A39" s="1"/>
      <c r="B39" s="83" t="s">
        <v>18</v>
      </c>
      <c r="C39" s="84">
        <f t="shared" ref="C39:I39" si="29">C38/C11</f>
        <v>-0.13760544579020567</v>
      </c>
      <c r="D39" s="84">
        <f t="shared" si="29"/>
        <v>5.0480928899699204E-3</v>
      </c>
      <c r="E39" s="84">
        <f t="shared" si="29"/>
        <v>0.16454199922156926</v>
      </c>
      <c r="F39" s="84">
        <f t="shared" si="29"/>
        <v>0.24074506892210348</v>
      </c>
      <c r="G39" s="84">
        <f t="shared" si="29"/>
        <v>0.15616812428502896</v>
      </c>
      <c r="H39" s="84">
        <f t="shared" si="29"/>
        <v>0.19231628935844516</v>
      </c>
      <c r="I39" s="71">
        <f>I38/I11</f>
        <v>0.20951532996718367</v>
      </c>
      <c r="J39" s="67">
        <f t="shared" ref="J39:R39" si="30">J38/J11</f>
        <v>0.2107153299671837</v>
      </c>
      <c r="K39" s="67">
        <f t="shared" si="30"/>
        <v>0.19901532996718371</v>
      </c>
      <c r="L39" s="67">
        <f t="shared" si="30"/>
        <v>0.19551532996718368</v>
      </c>
      <c r="M39" s="67">
        <f t="shared" si="30"/>
        <v>0.19201532996718371</v>
      </c>
      <c r="N39" s="67">
        <f t="shared" si="30"/>
        <v>0.19471532996718369</v>
      </c>
      <c r="O39" s="67">
        <f t="shared" si="30"/>
        <v>0.19121532996718366</v>
      </c>
      <c r="P39" s="67">
        <f t="shared" si="30"/>
        <v>0.19771532996718363</v>
      </c>
      <c r="Q39" s="67">
        <f t="shared" si="30"/>
        <v>0.19421532996718369</v>
      </c>
      <c r="R39" s="67">
        <f t="shared" si="30"/>
        <v>0.19071532996718371</v>
      </c>
    </row>
    <row r="40" spans="1:86" x14ac:dyDescent="0.25">
      <c r="A40" s="1"/>
      <c r="B40" s="14"/>
      <c r="C40" s="1"/>
      <c r="D40" s="1"/>
      <c r="F40" s="1"/>
      <c r="G40" s="1"/>
      <c r="H40" s="1"/>
      <c r="I40" s="13"/>
      <c r="J40" s="1"/>
      <c r="K40" s="1"/>
      <c r="L40" s="1"/>
      <c r="M40" s="1"/>
      <c r="N40" s="1"/>
    </row>
    <row r="41" spans="1:86" x14ac:dyDescent="0.25">
      <c r="A41" s="1"/>
      <c r="B41" s="1" t="s">
        <v>19</v>
      </c>
      <c r="C41" s="12">
        <v>0</v>
      </c>
      <c r="D41" s="12">
        <v>0</v>
      </c>
      <c r="E41" s="25">
        <v>0</v>
      </c>
      <c r="F41" s="12">
        <v>14585</v>
      </c>
      <c r="G41" s="12">
        <v>24521</v>
      </c>
      <c r="H41" s="19">
        <v>-54686</v>
      </c>
      <c r="I41" s="22">
        <f>I42*I38</f>
        <v>131382.87311582154</v>
      </c>
      <c r="J41" s="19">
        <f t="shared" ref="J41:R41" si="31">J42*J38</f>
        <v>167227.05730723642</v>
      </c>
      <c r="K41" s="19">
        <f t="shared" si="31"/>
        <v>194268.35263190084</v>
      </c>
      <c r="L41" s="19">
        <f t="shared" si="31"/>
        <v>223296.64782972389</v>
      </c>
      <c r="M41" s="19">
        <f t="shared" si="31"/>
        <v>252194.22154214251</v>
      </c>
      <c r="N41" s="19">
        <f t="shared" si="31"/>
        <v>291544.07839123078</v>
      </c>
      <c r="O41" s="19">
        <f t="shared" si="31"/>
        <v>326386.08763473586</v>
      </c>
      <c r="P41" s="19">
        <f t="shared" si="31"/>
        <v>384728.29374036746</v>
      </c>
      <c r="Q41" s="19">
        <f t="shared" si="31"/>
        <v>430826.23427806422</v>
      </c>
      <c r="R41" s="19">
        <f t="shared" si="31"/>
        <v>482290.92360900482</v>
      </c>
    </row>
    <row r="42" spans="1:86" x14ac:dyDescent="0.25">
      <c r="A42" s="1"/>
      <c r="B42" s="83" t="s">
        <v>20</v>
      </c>
      <c r="C42" s="85">
        <f>C41/C38</f>
        <v>0</v>
      </c>
      <c r="D42" s="85">
        <f t="shared" ref="D42:G42" si="32">D41/D38</f>
        <v>0</v>
      </c>
      <c r="E42" s="85">
        <f t="shared" si="32"/>
        <v>0</v>
      </c>
      <c r="F42" s="85">
        <f>F41/F38</f>
        <v>7.8229340427700217E-2</v>
      </c>
      <c r="G42" s="85">
        <f t="shared" si="32"/>
        <v>0.11361151265799325</v>
      </c>
      <c r="H42" s="85">
        <f>H41/H38</f>
        <v>-0.1219958907868407</v>
      </c>
      <c r="I42" s="73">
        <v>0.2056</v>
      </c>
      <c r="J42" s="87">
        <v>0.2056</v>
      </c>
      <c r="K42" s="87">
        <v>0.2056</v>
      </c>
      <c r="L42" s="87">
        <v>0.2056</v>
      </c>
      <c r="M42" s="87">
        <v>0.2056</v>
      </c>
      <c r="N42" s="87">
        <v>0.2056</v>
      </c>
      <c r="O42" s="87">
        <v>0.2056</v>
      </c>
      <c r="P42" s="87">
        <v>0.2056</v>
      </c>
      <c r="Q42" s="87">
        <v>0.2056</v>
      </c>
      <c r="R42" s="87">
        <v>0.2056</v>
      </c>
    </row>
    <row r="43" spans="1:86" x14ac:dyDescent="0.25">
      <c r="A43" s="1"/>
      <c r="B43" s="1"/>
      <c r="C43" s="1"/>
      <c r="D43" s="1"/>
      <c r="E43" s="1"/>
      <c r="F43" s="1"/>
      <c r="G43" s="1"/>
      <c r="H43" s="1"/>
      <c r="I43" s="13"/>
      <c r="J43" s="1"/>
      <c r="K43" s="1"/>
      <c r="L43" s="1"/>
      <c r="M43" s="1"/>
      <c r="N43" s="1"/>
      <c r="O43" s="1"/>
      <c r="P43" s="1"/>
      <c r="Q43" s="1"/>
    </row>
    <row r="44" spans="1:86" x14ac:dyDescent="0.25">
      <c r="A44" s="1"/>
      <c r="B44" s="10" t="s">
        <v>21</v>
      </c>
      <c r="C44" s="10">
        <v>2017</v>
      </c>
      <c r="D44" s="10">
        <f>C44+1</f>
        <v>2018</v>
      </c>
      <c r="E44" s="10">
        <f>D44+1</f>
        <v>2019</v>
      </c>
      <c r="F44" s="10">
        <v>2020</v>
      </c>
      <c r="G44" s="10">
        <v>2021</v>
      </c>
      <c r="H44" s="10">
        <v>2022</v>
      </c>
      <c r="I44" s="75">
        <v>2023</v>
      </c>
      <c r="J44" s="10">
        <v>2024</v>
      </c>
      <c r="K44" s="10">
        <v>2025</v>
      </c>
      <c r="L44" s="10">
        <v>2026</v>
      </c>
      <c r="M44" s="10">
        <v>2027</v>
      </c>
      <c r="N44" s="10">
        <v>2028</v>
      </c>
      <c r="O44" s="10">
        <v>2029</v>
      </c>
      <c r="P44" s="10">
        <v>2030</v>
      </c>
      <c r="Q44" s="10">
        <v>2031</v>
      </c>
      <c r="R44" s="10">
        <v>2032</v>
      </c>
      <c r="S44" s="10">
        <v>2033</v>
      </c>
      <c r="T44" s="10">
        <v>2034</v>
      </c>
      <c r="U44" s="10">
        <v>2035</v>
      </c>
      <c r="V44" s="10">
        <v>2036</v>
      </c>
      <c r="W44" s="10">
        <v>2037</v>
      </c>
      <c r="X44" s="10">
        <v>2038</v>
      </c>
      <c r="Y44" s="10">
        <v>2039</v>
      </c>
      <c r="Z44" s="10">
        <v>2040</v>
      </c>
      <c r="AA44" s="10">
        <v>2041</v>
      </c>
      <c r="AB44" s="10">
        <v>2042</v>
      </c>
      <c r="AC44" s="10">
        <v>2043</v>
      </c>
      <c r="AD44" s="10">
        <v>2044</v>
      </c>
      <c r="AE44" s="10">
        <v>2045</v>
      </c>
      <c r="AF44" s="10">
        <v>2046</v>
      </c>
      <c r="AG44" s="10">
        <v>2047</v>
      </c>
      <c r="AH44" s="10">
        <v>2048</v>
      </c>
      <c r="AI44" s="10">
        <v>2049</v>
      </c>
      <c r="AJ44" s="10">
        <v>2050</v>
      </c>
      <c r="AK44" s="10">
        <v>2051</v>
      </c>
      <c r="AL44" s="10">
        <v>2052</v>
      </c>
      <c r="AM44" s="10">
        <v>2053</v>
      </c>
      <c r="AN44" s="10">
        <v>2054</v>
      </c>
      <c r="AO44" s="10">
        <v>2055</v>
      </c>
      <c r="AP44" s="10">
        <v>2056</v>
      </c>
      <c r="AQ44" s="10">
        <v>2057</v>
      </c>
      <c r="AR44" s="10">
        <v>2058</v>
      </c>
      <c r="AS44" s="10">
        <v>2059</v>
      </c>
      <c r="AT44" s="10">
        <v>2060</v>
      </c>
      <c r="AU44" s="10">
        <v>2061</v>
      </c>
      <c r="AV44" s="10">
        <v>2062</v>
      </c>
      <c r="AW44" s="10">
        <v>2063</v>
      </c>
      <c r="AX44" s="10">
        <v>2064</v>
      </c>
      <c r="AY44" s="10">
        <v>2065</v>
      </c>
      <c r="AZ44" s="10">
        <v>2066</v>
      </c>
      <c r="BA44" s="10">
        <v>2067</v>
      </c>
      <c r="BB44" s="10">
        <v>2068</v>
      </c>
      <c r="BC44" s="10">
        <v>2069</v>
      </c>
      <c r="BD44" s="10">
        <v>2070</v>
      </c>
      <c r="BE44" s="10">
        <v>2071</v>
      </c>
      <c r="BF44" s="10">
        <v>2072</v>
      </c>
      <c r="BG44" s="10">
        <v>2073</v>
      </c>
      <c r="BH44" s="10">
        <v>2074</v>
      </c>
      <c r="BI44" s="10">
        <v>2075</v>
      </c>
      <c r="BJ44" s="10">
        <v>2076</v>
      </c>
      <c r="BK44" s="10">
        <v>2077</v>
      </c>
      <c r="BL44" s="10">
        <v>2078</v>
      </c>
      <c r="BM44" s="10">
        <v>2079</v>
      </c>
      <c r="BN44" s="10">
        <v>2080</v>
      </c>
      <c r="BO44" s="10">
        <v>2081</v>
      </c>
      <c r="BP44" s="10">
        <v>2082</v>
      </c>
      <c r="BQ44" s="10">
        <v>2083</v>
      </c>
      <c r="BR44" s="10">
        <v>2084</v>
      </c>
      <c r="BS44" s="10">
        <v>2085</v>
      </c>
      <c r="BT44" s="10">
        <v>2086</v>
      </c>
      <c r="BU44" s="10">
        <v>2087</v>
      </c>
      <c r="BV44" s="10">
        <v>2088</v>
      </c>
      <c r="BW44" s="10">
        <v>2089</v>
      </c>
      <c r="BX44" s="10">
        <v>2090</v>
      </c>
      <c r="BY44" s="10">
        <v>2091</v>
      </c>
      <c r="BZ44" s="10">
        <v>2092</v>
      </c>
      <c r="CA44" s="10">
        <v>2093</v>
      </c>
      <c r="CB44" s="10">
        <v>2094</v>
      </c>
      <c r="CC44" s="10">
        <v>2095</v>
      </c>
      <c r="CD44" s="10">
        <v>2096</v>
      </c>
      <c r="CE44" s="10">
        <v>2097</v>
      </c>
      <c r="CF44" s="10">
        <v>2098</v>
      </c>
      <c r="CG44" s="10">
        <v>2099</v>
      </c>
      <c r="CH44" s="10">
        <v>2100</v>
      </c>
    </row>
    <row r="45" spans="1:86" x14ac:dyDescent="0.25">
      <c r="A45" s="1"/>
      <c r="B45" s="1" t="s">
        <v>22</v>
      </c>
      <c r="C45" s="12">
        <v>9004</v>
      </c>
      <c r="D45" s="12">
        <v>9667</v>
      </c>
      <c r="E45" s="25">
        <v>14119</v>
      </c>
      <c r="F45" s="12">
        <v>18103</v>
      </c>
      <c r="G45" s="12">
        <v>30846</v>
      </c>
      <c r="H45" s="12">
        <v>58775</v>
      </c>
      <c r="I45" s="22">
        <f>I46*I11</f>
        <v>65760</v>
      </c>
      <c r="J45" s="19">
        <f t="shared" ref="J45:R45" si="33">J46*J11</f>
        <v>76199.999999999985</v>
      </c>
      <c r="K45" s="19">
        <f t="shared" si="33"/>
        <v>93229.999999999971</v>
      </c>
      <c r="L45" s="19">
        <f t="shared" si="33"/>
        <v>103586.25678119344</v>
      </c>
      <c r="M45" s="19">
        <f t="shared" si="33"/>
        <v>118560.18262519981</v>
      </c>
      <c r="N45" s="19">
        <f t="shared" si="33"/>
        <v>132006.30282675754</v>
      </c>
      <c r="O45" s="19">
        <f t="shared" si="33"/>
        <v>149218.51566670969</v>
      </c>
      <c r="P45" s="19">
        <f t="shared" si="33"/>
        <v>170303.63256760754</v>
      </c>
      <c r="Q45" s="19">
        <f t="shared" si="33"/>
        <v>194146.14112707259</v>
      </c>
      <c r="R45" s="19">
        <f t="shared" si="33"/>
        <v>221326.6008848628</v>
      </c>
    </row>
    <row r="46" spans="1:86" x14ac:dyDescent="0.25">
      <c r="A46" s="1"/>
      <c r="B46" s="83" t="s">
        <v>18</v>
      </c>
      <c r="C46" s="84">
        <f t="shared" ref="C46:H46" si="34">C45/C11</f>
        <v>3.1464255012824724E-2</v>
      </c>
      <c r="D46" s="84">
        <f t="shared" si="34"/>
        <v>3.0576387197580965E-2</v>
      </c>
      <c r="E46" s="84">
        <f t="shared" si="34"/>
        <v>2.2614534230931248E-2</v>
      </c>
      <c r="F46" s="84">
        <f t="shared" si="34"/>
        <v>2.3376053200761856E-2</v>
      </c>
      <c r="G46" s="84">
        <f t="shared" si="34"/>
        <v>2.2319034998035527E-2</v>
      </c>
      <c r="H46" s="84">
        <f t="shared" si="34"/>
        <v>2.5216090418400474E-2</v>
      </c>
      <c r="I46" s="21">
        <v>2.1560655737704919E-2</v>
      </c>
      <c r="J46" s="54">
        <v>1.9740932642487045E-2</v>
      </c>
      <c r="K46" s="54">
        <v>1.9636463204010277E-2</v>
      </c>
      <c r="L46" s="54">
        <v>1.864763937110836E-2</v>
      </c>
      <c r="M46" s="54">
        <v>1.8559349121560695E-2</v>
      </c>
      <c r="N46" s="54">
        <v>1.8126489264485318E-2</v>
      </c>
      <c r="O46" s="54">
        <v>1.7973675421570544E-2</v>
      </c>
      <c r="P46" s="54">
        <v>1.7994228841661419E-2</v>
      </c>
      <c r="Q46" s="54">
        <v>1.7994228841661419E-2</v>
      </c>
      <c r="R46" s="54">
        <v>1.7994228841661419E-2</v>
      </c>
    </row>
    <row r="47" spans="1:86" x14ac:dyDescent="0.25">
      <c r="A47" s="1"/>
      <c r="B47" s="1"/>
      <c r="C47" s="1"/>
      <c r="D47" s="1"/>
      <c r="F47" s="1"/>
      <c r="G47" s="1"/>
      <c r="H47" s="1"/>
      <c r="I47" s="13"/>
      <c r="J47" s="1"/>
      <c r="K47" s="1"/>
      <c r="L47" s="1"/>
      <c r="M47" s="1"/>
      <c r="N47" s="1"/>
    </row>
    <row r="48" spans="1:86" x14ac:dyDescent="0.25">
      <c r="A48" s="1"/>
      <c r="B48" s="1" t="s">
        <v>23</v>
      </c>
      <c r="C48" s="12">
        <v>-4121</v>
      </c>
      <c r="D48" s="12">
        <v>-4151</v>
      </c>
      <c r="E48" s="25">
        <v>-14788</v>
      </c>
      <c r="F48" s="12">
        <v>-20558</v>
      </c>
      <c r="G48" s="12">
        <v>-52258</v>
      </c>
      <c r="H48" s="12">
        <v>-46443</v>
      </c>
      <c r="I48" s="22">
        <f>I49*I11</f>
        <v>-74760</v>
      </c>
      <c r="J48" s="19">
        <f t="shared" ref="J48:R48" si="35">J49*J11</f>
        <v>-72170</v>
      </c>
      <c r="K48" s="19">
        <f t="shared" si="35"/>
        <v>-78399.999999999985</v>
      </c>
      <c r="L48" s="19">
        <f t="shared" si="35"/>
        <v>-87771.157323688938</v>
      </c>
      <c r="M48" s="19">
        <f t="shared" si="35"/>
        <v>-98586.037092941537</v>
      </c>
      <c r="N48" s="19">
        <f t="shared" si="35"/>
        <v>-108219.90843008632</v>
      </c>
      <c r="O48" s="19">
        <f t="shared" si="35"/>
        <v>-119800.83635363205</v>
      </c>
      <c r="P48" s="19">
        <f t="shared" si="35"/>
        <v>-136572.95344314058</v>
      </c>
      <c r="Q48" s="19">
        <f t="shared" si="35"/>
        <v>-155693.16692518027</v>
      </c>
      <c r="R48" s="19">
        <f t="shared" si="35"/>
        <v>-160843.98112754532</v>
      </c>
    </row>
    <row r="49" spans="1:86" x14ac:dyDescent="0.25">
      <c r="A49" s="1"/>
      <c r="B49" s="83" t="s">
        <v>18</v>
      </c>
      <c r="C49" s="84">
        <f t="shared" ref="C49:H49" si="36">C48/C11</f>
        <v>-1.4400732442009184E-2</v>
      </c>
      <c r="D49" s="84">
        <f t="shared" si="36"/>
        <v>-1.312946966557966E-2</v>
      </c>
      <c r="E49" s="84">
        <f t="shared" si="36"/>
        <v>-2.3686077782209172E-2</v>
      </c>
      <c r="F49" s="84">
        <f t="shared" si="36"/>
        <v>-2.6546147141427511E-2</v>
      </c>
      <c r="G49" s="84">
        <f t="shared" si="36"/>
        <v>-3.7811973381551595E-2</v>
      </c>
      <c r="H49" s="84">
        <f t="shared" si="36"/>
        <v>-1.9925323475997844E-2</v>
      </c>
      <c r="I49" s="21">
        <v>-2.4511475409836066E-2</v>
      </c>
      <c r="J49" s="54">
        <v>-1.8696891191709846E-2</v>
      </c>
      <c r="K49" s="54">
        <v>-1.6512911243102068E-2</v>
      </c>
      <c r="L49" s="54">
        <v>-1.5800598842124803E-2</v>
      </c>
      <c r="M49" s="54">
        <v>-1.5432606802767658E-2</v>
      </c>
      <c r="N49" s="54">
        <v>-1.4860252626997443E-2</v>
      </c>
      <c r="O49" s="54">
        <v>-1.4430255777790578E-2</v>
      </c>
      <c r="P49" s="54">
        <v>-1.4430255777790578E-2</v>
      </c>
      <c r="Q49" s="54">
        <v>-1.4430255777790578E-2</v>
      </c>
      <c r="R49" s="54">
        <v>-1.3076889052837158E-2</v>
      </c>
    </row>
    <row r="50" spans="1:86" x14ac:dyDescent="0.25">
      <c r="A50" s="1"/>
      <c r="B50" s="1"/>
      <c r="C50" s="1"/>
      <c r="D50" s="1"/>
      <c r="F50" s="1"/>
      <c r="G50" s="1"/>
      <c r="H50" s="1"/>
      <c r="I50" s="13"/>
      <c r="J50" s="1"/>
      <c r="K50" s="1"/>
      <c r="L50" s="1"/>
      <c r="M50" s="1"/>
      <c r="N50" s="1"/>
    </row>
    <row r="51" spans="1:86" x14ac:dyDescent="0.25">
      <c r="A51" s="1"/>
      <c r="B51" s="1" t="s">
        <v>24</v>
      </c>
      <c r="C51" s="1">
        <v>-1417</v>
      </c>
      <c r="D51" s="1">
        <v>1524</v>
      </c>
      <c r="E51" s="2">
        <v>1425</v>
      </c>
      <c r="F51" s="40">
        <v>-24653</v>
      </c>
      <c r="G51" s="40">
        <v>15063</v>
      </c>
      <c r="H51" s="40">
        <v>62126</v>
      </c>
      <c r="I51" s="22">
        <f t="shared" ref="I51:R51" si="37">I52*I11</f>
        <v>-30500</v>
      </c>
      <c r="J51" s="19">
        <f t="shared" si="37"/>
        <v>-38599.999999999993</v>
      </c>
      <c r="K51" s="19">
        <f t="shared" si="37"/>
        <v>-47477.999999999993</v>
      </c>
      <c r="L51" s="19">
        <f t="shared" si="37"/>
        <v>-55549.25999999998</v>
      </c>
      <c r="M51" s="19">
        <f t="shared" si="37"/>
        <v>-63881.648999999976</v>
      </c>
      <c r="N51" s="19">
        <f t="shared" si="37"/>
        <v>-72825.079859999983</v>
      </c>
      <c r="O51" s="19">
        <f t="shared" si="37"/>
        <v>83020.591040399988</v>
      </c>
      <c r="P51" s="19">
        <f t="shared" si="37"/>
        <v>189286.94757211203</v>
      </c>
      <c r="Q51" s="19">
        <f t="shared" si="37"/>
        <v>215787.1202322077</v>
      </c>
      <c r="R51" s="19">
        <f t="shared" si="37"/>
        <v>245997.31706471683</v>
      </c>
    </row>
    <row r="52" spans="1:86" x14ac:dyDescent="0.25">
      <c r="A52" s="1"/>
      <c r="B52" s="83" t="s">
        <v>18</v>
      </c>
      <c r="C52" s="84">
        <f t="shared" ref="C52:H52" si="38">C51/C11</f>
        <v>-4.9516714075047352E-3</v>
      </c>
      <c r="D52" s="84">
        <f t="shared" si="38"/>
        <v>4.820359376136691E-3</v>
      </c>
      <c r="E52" s="84">
        <f t="shared" si="38"/>
        <v>2.2824358155023039E-3</v>
      </c>
      <c r="F52" s="84">
        <f t="shared" si="38"/>
        <v>-3.183394131129548E-2</v>
      </c>
      <c r="G52" s="84">
        <f t="shared" si="38"/>
        <v>1.089903469413892E-2</v>
      </c>
      <c r="H52" s="84">
        <f t="shared" si="38"/>
        <v>2.6653761519924251E-2</v>
      </c>
      <c r="I52" s="76">
        <v>-0.01</v>
      </c>
      <c r="J52" s="88">
        <v>-0.01</v>
      </c>
      <c r="K52" s="88">
        <v>-0.01</v>
      </c>
      <c r="L52" s="88">
        <v>-0.01</v>
      </c>
      <c r="M52" s="88">
        <v>-0.01</v>
      </c>
      <c r="N52" s="88">
        <v>-0.01</v>
      </c>
      <c r="O52" s="88">
        <v>0.01</v>
      </c>
      <c r="P52" s="88">
        <v>0.02</v>
      </c>
      <c r="Q52" s="88">
        <v>0.02</v>
      </c>
      <c r="R52" s="88">
        <v>0.02</v>
      </c>
    </row>
    <row r="53" spans="1:86" x14ac:dyDescent="0.25">
      <c r="A53" s="1"/>
      <c r="B53" s="1"/>
      <c r="C53" s="1"/>
      <c r="D53" s="1"/>
      <c r="E53" s="1"/>
      <c r="F53" s="1"/>
      <c r="G53" s="1"/>
      <c r="H53" s="1"/>
      <c r="I53" s="13"/>
      <c r="J53" s="1"/>
      <c r="K53" s="1"/>
      <c r="L53" s="1"/>
      <c r="M53" s="1"/>
      <c r="N53" s="1"/>
      <c r="O53" s="1"/>
      <c r="P53" s="1"/>
      <c r="Q53" s="1"/>
    </row>
    <row r="54" spans="1:86" x14ac:dyDescent="0.25">
      <c r="A54" s="1"/>
      <c r="B54" s="10" t="s">
        <v>25</v>
      </c>
      <c r="C54" s="12">
        <f>C38+C41</f>
        <v>-39378</v>
      </c>
      <c r="D54" s="12">
        <f t="shared" ref="D54:R54" si="39">D38+D41</f>
        <v>1596</v>
      </c>
      <c r="E54" s="12">
        <f t="shared" si="39"/>
        <v>102729</v>
      </c>
      <c r="F54" s="12">
        <f>F38+F41</f>
        <v>201024</v>
      </c>
      <c r="G54" s="12">
        <f t="shared" si="39"/>
        <v>240353</v>
      </c>
      <c r="H54" s="12">
        <f>H38+H41</f>
        <v>393575</v>
      </c>
      <c r="I54" s="74">
        <f>I38+I41</f>
        <v>770404.62951573171</v>
      </c>
      <c r="J54" s="12">
        <f t="shared" si="39"/>
        <v>980588.23098056531</v>
      </c>
      <c r="K54" s="12">
        <f t="shared" si="39"/>
        <v>1139153.3362500956</v>
      </c>
      <c r="L54" s="12">
        <f t="shared" si="39"/>
        <v>1309369.8376630112</v>
      </c>
      <c r="M54" s="12">
        <f t="shared" si="39"/>
        <v>1478819.8127004232</v>
      </c>
      <c r="N54" s="12">
        <f t="shared" si="39"/>
        <v>1709560.0238738707</v>
      </c>
      <c r="O54" s="12">
        <f t="shared" si="39"/>
        <v>1913867.0586208054</v>
      </c>
      <c r="P54" s="12">
        <f t="shared" si="39"/>
        <v>2255974.8586254232</v>
      </c>
      <c r="Q54" s="12">
        <f t="shared" si="39"/>
        <v>2526284.572206392</v>
      </c>
      <c r="R54" s="12">
        <f t="shared" si="39"/>
        <v>2828063.8983609737</v>
      </c>
    </row>
    <row r="55" spans="1:86" x14ac:dyDescent="0.25">
      <c r="A55" s="1"/>
      <c r="B55" s="10" t="s">
        <v>26</v>
      </c>
      <c r="C55" s="12">
        <f t="shared" ref="C55:G55" si="40">C36+C41</f>
        <v>-45341</v>
      </c>
      <c r="D55" s="12">
        <f t="shared" si="40"/>
        <v>-10229</v>
      </c>
      <c r="E55" s="12">
        <f t="shared" si="40"/>
        <v>90114</v>
      </c>
      <c r="F55" s="12">
        <f t="shared" si="40"/>
        <v>133995</v>
      </c>
      <c r="G55" s="12">
        <f t="shared" si="40"/>
        <v>145449</v>
      </c>
      <c r="H55" s="12">
        <f>H36+H41</f>
        <v>397362</v>
      </c>
      <c r="I55" s="74">
        <f>I36+I41</f>
        <v>755154.62951573171</v>
      </c>
      <c r="J55" s="12">
        <f t="shared" ref="J55:R55" si="41">J36+J41</f>
        <v>961288.23098056531</v>
      </c>
      <c r="K55" s="12">
        <f t="shared" si="41"/>
        <v>1115414.3362500956</v>
      </c>
      <c r="L55" s="12">
        <f t="shared" si="41"/>
        <v>1281595.2076630113</v>
      </c>
      <c r="M55" s="12">
        <f t="shared" si="41"/>
        <v>1446878.9882004231</v>
      </c>
      <c r="N55" s="12">
        <f t="shared" si="41"/>
        <v>1673147.4839438708</v>
      </c>
      <c r="O55" s="12">
        <f t="shared" si="41"/>
        <v>1872356.7631006055</v>
      </c>
      <c r="P55" s="12">
        <f t="shared" si="41"/>
        <v>2208653.1217323951</v>
      </c>
      <c r="Q55" s="12">
        <f t="shared" si="41"/>
        <v>2472337.79214834</v>
      </c>
      <c r="R55" s="12">
        <f t="shared" si="41"/>
        <v>2766564.5690947943</v>
      </c>
      <c r="S55" s="66">
        <f>R55*(1+$E$6)</f>
        <v>2849561.5061676381</v>
      </c>
      <c r="T55" s="66">
        <f t="shared" ref="T55:CE55" si="42">S55*(1+$E$6)</f>
        <v>2935048.3513526674</v>
      </c>
      <c r="U55" s="66">
        <f t="shared" si="42"/>
        <v>3023099.8018932478</v>
      </c>
      <c r="V55" s="66">
        <f t="shared" si="42"/>
        <v>3113792.7959500453</v>
      </c>
      <c r="W55" s="66">
        <f t="shared" si="42"/>
        <v>3207206.5798285468</v>
      </c>
      <c r="X55" s="66">
        <f t="shared" si="42"/>
        <v>3303422.7772234036</v>
      </c>
      <c r="Y55" s="66">
        <f t="shared" si="42"/>
        <v>3402525.4605401056</v>
      </c>
      <c r="Z55" s="66">
        <f t="shared" si="42"/>
        <v>3504601.224356309</v>
      </c>
      <c r="AA55" s="66">
        <f t="shared" si="42"/>
        <v>3609739.2610869985</v>
      </c>
      <c r="AB55" s="66">
        <f t="shared" si="42"/>
        <v>3718031.4389196085</v>
      </c>
      <c r="AC55" s="66">
        <f t="shared" si="42"/>
        <v>3829572.3820871967</v>
      </c>
      <c r="AD55" s="66">
        <f t="shared" si="42"/>
        <v>3944459.5535498126</v>
      </c>
      <c r="AE55" s="66">
        <f t="shared" si="42"/>
        <v>4062793.340156307</v>
      </c>
      <c r="AF55" s="66">
        <f t="shared" si="42"/>
        <v>4184677.1403609961</v>
      </c>
      <c r="AG55" s="66">
        <f t="shared" si="42"/>
        <v>4310217.4545718264</v>
      </c>
      <c r="AH55" s="66">
        <f t="shared" si="42"/>
        <v>4439523.9782089815</v>
      </c>
      <c r="AI55" s="66">
        <f t="shared" si="42"/>
        <v>4572709.6975552514</v>
      </c>
      <c r="AJ55" s="66">
        <f t="shared" si="42"/>
        <v>4709890.988481909</v>
      </c>
      <c r="AK55" s="66">
        <f t="shared" si="42"/>
        <v>4851187.7181363665</v>
      </c>
      <c r="AL55" s="66">
        <f t="shared" si="42"/>
        <v>4996723.3496804573</v>
      </c>
      <c r="AM55" s="66">
        <f t="shared" si="42"/>
        <v>5146625.0501708714</v>
      </c>
      <c r="AN55" s="66">
        <f t="shared" si="42"/>
        <v>5301023.8016759977</v>
      </c>
      <c r="AO55" s="66">
        <f t="shared" si="42"/>
        <v>5460054.5157262776</v>
      </c>
      <c r="AP55" s="66">
        <f t="shared" si="42"/>
        <v>5623856.1511980658</v>
      </c>
      <c r="AQ55" s="66">
        <f t="shared" si="42"/>
        <v>5792571.8357340079</v>
      </c>
      <c r="AR55" s="66">
        <f t="shared" si="42"/>
        <v>5966348.9908060282</v>
      </c>
      <c r="AS55" s="66">
        <f t="shared" si="42"/>
        <v>6145339.4605302094</v>
      </c>
      <c r="AT55" s="66">
        <f t="shared" si="42"/>
        <v>6329699.6443461161</v>
      </c>
      <c r="AU55" s="66">
        <f t="shared" si="42"/>
        <v>6519590.6336765001</v>
      </c>
      <c r="AV55" s="66">
        <f t="shared" si="42"/>
        <v>6715178.3526867954</v>
      </c>
      <c r="AW55" s="66">
        <f t="shared" si="42"/>
        <v>6916633.7032673992</v>
      </c>
      <c r="AX55" s="66">
        <f t="shared" si="42"/>
        <v>7124132.7143654218</v>
      </c>
      <c r="AY55" s="66">
        <f t="shared" si="42"/>
        <v>7337856.6957963845</v>
      </c>
      <c r="AZ55" s="66">
        <f t="shared" si="42"/>
        <v>7557992.3966702763</v>
      </c>
      <c r="BA55" s="66">
        <f t="shared" si="42"/>
        <v>7784732.1685703844</v>
      </c>
      <c r="BB55" s="66">
        <f t="shared" si="42"/>
        <v>8018274.1336274957</v>
      </c>
      <c r="BC55" s="66">
        <f t="shared" si="42"/>
        <v>8258822.3576363204</v>
      </c>
      <c r="BD55" s="66">
        <f t="shared" si="42"/>
        <v>8506587.0283654109</v>
      </c>
      <c r="BE55" s="66">
        <f t="shared" si="42"/>
        <v>8761784.6392163727</v>
      </c>
      <c r="BF55" s="66">
        <f t="shared" si="42"/>
        <v>9024638.1783928648</v>
      </c>
      <c r="BG55" s="66">
        <f t="shared" si="42"/>
        <v>9295377.3237446509</v>
      </c>
      <c r="BH55" s="66">
        <f t="shared" si="42"/>
        <v>9574238.6434569899</v>
      </c>
      <c r="BI55" s="66">
        <f t="shared" si="42"/>
        <v>9861465.8027606998</v>
      </c>
      <c r="BJ55" s="66">
        <f t="shared" si="42"/>
        <v>10157309.776843522</v>
      </c>
      <c r="BK55" s="66">
        <f t="shared" si="42"/>
        <v>10462029.070148828</v>
      </c>
      <c r="BL55" s="66">
        <f t="shared" si="42"/>
        <v>10775889.942253293</v>
      </c>
      <c r="BM55" s="66">
        <f t="shared" si="42"/>
        <v>11099166.640520893</v>
      </c>
      <c r="BN55" s="66">
        <f t="shared" si="42"/>
        <v>11432141.63973652</v>
      </c>
      <c r="BO55" s="66">
        <f t="shared" si="42"/>
        <v>11775105.888928616</v>
      </c>
      <c r="BP55" s="66">
        <f t="shared" si="42"/>
        <v>12128359.065596474</v>
      </c>
      <c r="BQ55" s="66">
        <f t="shared" si="42"/>
        <v>12492209.83756437</v>
      </c>
      <c r="BR55" s="66">
        <f t="shared" si="42"/>
        <v>12866976.132691301</v>
      </c>
      <c r="BS55" s="66">
        <f t="shared" si="42"/>
        <v>13252985.416672042</v>
      </c>
      <c r="BT55" s="66">
        <f t="shared" si="42"/>
        <v>13650574.979172204</v>
      </c>
      <c r="BU55" s="66">
        <f t="shared" si="42"/>
        <v>14060092.22854737</v>
      </c>
      <c r="BV55" s="66">
        <f t="shared" si="42"/>
        <v>14481894.995403791</v>
      </c>
      <c r="BW55" s="66">
        <f t="shared" si="42"/>
        <v>14916351.845265904</v>
      </c>
      <c r="BX55" s="66">
        <f t="shared" si="42"/>
        <v>15363842.400623882</v>
      </c>
      <c r="BY55" s="66">
        <f t="shared" si="42"/>
        <v>15824757.6726426</v>
      </c>
      <c r="BZ55" s="66">
        <f t="shared" si="42"/>
        <v>16299500.402821878</v>
      </c>
      <c r="CA55" s="66">
        <f t="shared" si="42"/>
        <v>16788485.414906535</v>
      </c>
      <c r="CB55" s="66">
        <f t="shared" si="42"/>
        <v>17292139.977353733</v>
      </c>
      <c r="CC55" s="66">
        <f t="shared" si="42"/>
        <v>17810904.176674344</v>
      </c>
      <c r="CD55" s="66">
        <f t="shared" si="42"/>
        <v>18345231.301974576</v>
      </c>
      <c r="CE55" s="66">
        <f t="shared" si="42"/>
        <v>18895588.241033815</v>
      </c>
      <c r="CF55" s="66">
        <f t="shared" ref="CF55:CH55" si="43">CE55*(1+$E$6)</f>
        <v>19462455.888264831</v>
      </c>
      <c r="CG55" s="66">
        <f t="shared" si="43"/>
        <v>20046329.564912777</v>
      </c>
      <c r="CH55" s="66">
        <f t="shared" si="43"/>
        <v>20647719.45186016</v>
      </c>
    </row>
    <row r="56" spans="1:86" x14ac:dyDescent="0.25">
      <c r="A56" s="1"/>
      <c r="B56" s="6"/>
      <c r="C56" s="23"/>
      <c r="D56" s="23"/>
      <c r="E56" s="23"/>
      <c r="F56" s="23"/>
      <c r="G56" s="23"/>
      <c r="H56" s="23"/>
      <c r="I56" s="13"/>
      <c r="J56" s="1"/>
      <c r="K56" s="1"/>
      <c r="L56" s="1"/>
      <c r="M56" s="1"/>
      <c r="N56" s="1"/>
      <c r="O56" s="1"/>
      <c r="P56" s="1"/>
      <c r="Q56" s="1"/>
    </row>
    <row r="57" spans="1:86" x14ac:dyDescent="0.25">
      <c r="A57" s="1"/>
      <c r="B57" s="10" t="s">
        <v>27</v>
      </c>
      <c r="C57" s="26">
        <f>C54+C45+C48-C51</f>
        <v>-33078</v>
      </c>
      <c r="D57" s="26">
        <f t="shared" ref="D57:F57" si="44">D54+D45+D48-D51</f>
        <v>5588</v>
      </c>
      <c r="E57" s="26">
        <f t="shared" si="44"/>
        <v>100635</v>
      </c>
      <c r="F57" s="26">
        <f t="shared" si="44"/>
        <v>223222</v>
      </c>
      <c r="G57" s="26">
        <f>G54+G45+G48-G51</f>
        <v>203878</v>
      </c>
      <c r="H57" s="26">
        <f>H54+H45+H48-H51</f>
        <v>343781</v>
      </c>
      <c r="I57" s="80">
        <f>I54+I45+I48-I51</f>
        <v>791904.62951573171</v>
      </c>
      <c r="J57" s="26">
        <f t="shared" ref="J57:R57" si="45">J54+J45+J48-J51</f>
        <v>1023218.2309805653</v>
      </c>
      <c r="K57" s="26">
        <f t="shared" si="45"/>
        <v>1201461.3362500956</v>
      </c>
      <c r="L57" s="26">
        <f t="shared" si="45"/>
        <v>1380734.1971205156</v>
      </c>
      <c r="M57" s="26">
        <f t="shared" si="45"/>
        <v>1562675.6072326815</v>
      </c>
      <c r="N57" s="26">
        <f t="shared" si="45"/>
        <v>1806171.498130542</v>
      </c>
      <c r="O57" s="26">
        <f t="shared" si="45"/>
        <v>1860264.1468934829</v>
      </c>
      <c r="P57" s="26">
        <f t="shared" si="45"/>
        <v>2100418.5901777777</v>
      </c>
      <c r="Q57" s="26">
        <f t="shared" si="45"/>
        <v>2348950.4261760768</v>
      </c>
      <c r="R57" s="26">
        <f t="shared" si="45"/>
        <v>2642549.2010535742</v>
      </c>
    </row>
    <row r="58" spans="1:86" x14ac:dyDescent="0.25">
      <c r="A58" s="1"/>
      <c r="B58" s="27" t="s">
        <v>28</v>
      </c>
      <c r="C58" s="1"/>
      <c r="D58" s="1"/>
      <c r="E58" s="1"/>
      <c r="F58" s="1"/>
      <c r="G58" s="1"/>
      <c r="H58" s="1"/>
      <c r="I58" s="72">
        <f t="shared" ref="I58:R58" si="46">I57/((1+$E$5)^I9)</f>
        <v>707128.4276047739</v>
      </c>
      <c r="J58" s="69">
        <f t="shared" si="46"/>
        <v>815866.49697468861</v>
      </c>
      <c r="K58" s="69">
        <f t="shared" si="46"/>
        <v>855433.08761253348</v>
      </c>
      <c r="L58" s="69">
        <f t="shared" si="46"/>
        <v>877832.67297801073</v>
      </c>
      <c r="M58" s="69">
        <f t="shared" si="46"/>
        <v>887147.65312417783</v>
      </c>
      <c r="N58" s="69">
        <f t="shared" si="46"/>
        <v>915611.99739863689</v>
      </c>
      <c r="O58" s="69">
        <f t="shared" si="46"/>
        <v>842078.38718378067</v>
      </c>
      <c r="P58" s="69">
        <f t="shared" si="46"/>
        <v>849002.8993765536</v>
      </c>
      <c r="Q58" s="69">
        <f t="shared" si="46"/>
        <v>847817.90890387993</v>
      </c>
      <c r="R58" s="69">
        <f t="shared" si="46"/>
        <v>851681.53587025078</v>
      </c>
    </row>
    <row r="59" spans="1:86" x14ac:dyDescent="0.25">
      <c r="A59" s="1"/>
      <c r="B59" s="28"/>
      <c r="C59" s="28"/>
      <c r="D59" s="28"/>
      <c r="E59" s="28"/>
      <c r="F59" s="28"/>
      <c r="G59" s="28"/>
      <c r="H59" s="28"/>
      <c r="I59" s="16"/>
      <c r="J59" s="1"/>
      <c r="K59" s="1"/>
      <c r="L59" s="1"/>
      <c r="M59" s="1"/>
      <c r="N59" s="1"/>
      <c r="O59" s="1"/>
      <c r="P59" s="1"/>
      <c r="Q59" s="1"/>
      <c r="R59" s="1"/>
    </row>
    <row r="60" spans="1:86" x14ac:dyDescent="0.25">
      <c r="A60" s="1"/>
      <c r="B60" s="1" t="s">
        <v>29</v>
      </c>
      <c r="C60" s="29">
        <f>(R57*(1+$E$6))/($E$5-$E$6)</f>
        <v>30280194.78549955</v>
      </c>
      <c r="D60" s="1"/>
      <c r="E60" s="1" t="s">
        <v>30</v>
      </c>
      <c r="F60" s="19">
        <f>NPV($E$5,I55:CH55)</f>
        <v>18426287.099235412</v>
      </c>
      <c r="G60" s="1"/>
      <c r="H60" s="1"/>
      <c r="I60" s="16"/>
      <c r="J60" s="1"/>
      <c r="K60" s="1"/>
      <c r="L60" s="1"/>
      <c r="M60" s="1"/>
      <c r="N60" s="1"/>
      <c r="O60" s="1"/>
      <c r="P60" s="1"/>
      <c r="Q60" s="1"/>
    </row>
    <row r="61" spans="1:86" x14ac:dyDescent="0.25">
      <c r="A61" s="1"/>
      <c r="B61" s="3" t="s">
        <v>31</v>
      </c>
      <c r="C61" s="30">
        <f>C60/((1+$E$5)^$R$9)</f>
        <v>9759168.4541134033</v>
      </c>
      <c r="D61" s="17"/>
      <c r="E61" s="3"/>
      <c r="F61" s="3"/>
      <c r="G61" s="3"/>
      <c r="H61" s="17"/>
      <c r="I61" s="13"/>
      <c r="J61" s="1"/>
      <c r="L61" s="56" t="s">
        <v>52</v>
      </c>
      <c r="M61" s="57"/>
      <c r="N61" s="57"/>
      <c r="O61" s="57"/>
      <c r="P61" s="57"/>
      <c r="Q61" s="56"/>
    </row>
    <row r="62" spans="1:86" x14ac:dyDescent="0.25">
      <c r="A62" s="1"/>
      <c r="B62" s="6" t="s">
        <v>32</v>
      </c>
      <c r="C62" s="6"/>
      <c r="D62" s="1"/>
      <c r="E62" s="6"/>
      <c r="F62" s="6"/>
      <c r="G62" s="31" t="s">
        <v>33</v>
      </c>
      <c r="H62" s="31" t="s">
        <v>30</v>
      </c>
      <c r="I62" s="16"/>
      <c r="J62" s="1"/>
      <c r="K62" s="56"/>
      <c r="L62" s="58">
        <f>D68</f>
        <v>142.09180440838315</v>
      </c>
      <c r="M62" s="59">
        <v>-0.03</v>
      </c>
      <c r="N62" s="59">
        <v>-0.01</v>
      </c>
      <c r="O62" s="59">
        <v>0.03</v>
      </c>
      <c r="P62" s="59">
        <v>0.03</v>
      </c>
      <c r="Q62" s="59">
        <v>0.05</v>
      </c>
    </row>
    <row r="63" spans="1:86" x14ac:dyDescent="0.25">
      <c r="A63" s="1"/>
      <c r="B63" s="32" t="s">
        <v>34</v>
      </c>
      <c r="C63" s="1"/>
      <c r="D63" s="40">
        <f>286045+1492352</f>
        <v>1778397</v>
      </c>
      <c r="E63" s="1"/>
      <c r="F63" s="1"/>
      <c r="G63" s="29">
        <f>C61+SUM(I58:R58)</f>
        <v>18208769.521140691</v>
      </c>
      <c r="H63" s="19">
        <f>F60</f>
        <v>18426287.099235412</v>
      </c>
      <c r="I63" s="16"/>
      <c r="J63" s="1"/>
      <c r="K63" s="56"/>
      <c r="L63" s="60">
        <f>L64-2%</f>
        <v>7.9887984419063168E-2</v>
      </c>
      <c r="M63" s="61">
        <f t="dataTable" ref="M63:Q67" dt2D="1" dtr="1" r1="E6" r2="E5"/>
        <v>164.35905778919135</v>
      </c>
      <c r="N63" s="61">
        <v>184.25533346544239</v>
      </c>
      <c r="O63" s="61">
        <v>268.66369655590699</v>
      </c>
      <c r="P63" s="61">
        <v>268.66369655590699</v>
      </c>
      <c r="Q63" s="61">
        <v>380.70216931895629</v>
      </c>
    </row>
    <row r="64" spans="1:86" x14ac:dyDescent="0.25">
      <c r="A64" s="1"/>
      <c r="B64" s="33" t="s">
        <v>35</v>
      </c>
      <c r="C64" s="3"/>
      <c r="D64" s="34">
        <f>729289-106154</f>
        <v>623135</v>
      </c>
      <c r="E64" s="3"/>
      <c r="F64" s="3"/>
      <c r="G64" s="3"/>
      <c r="H64" s="3"/>
      <c r="I64" s="16"/>
      <c r="J64" s="1"/>
      <c r="K64" s="57"/>
      <c r="L64" s="60">
        <f>L65-2%</f>
        <v>9.9887984419063172E-2</v>
      </c>
      <c r="M64" s="61">
        <v>132.81853641397174</v>
      </c>
      <c r="N64" s="62">
        <v>144.53533033310433</v>
      </c>
      <c r="O64" s="62">
        <v>187.53391225277926</v>
      </c>
      <c r="P64" s="62">
        <v>187.53391225277926</v>
      </c>
      <c r="Q64" s="61">
        <v>232.75837816670696</v>
      </c>
    </row>
    <row r="65" spans="1:17" x14ac:dyDescent="0.25">
      <c r="A65" s="1"/>
      <c r="B65" s="6" t="s">
        <v>36</v>
      </c>
      <c r="C65" s="6"/>
      <c r="D65" s="6"/>
      <c r="E65" s="6"/>
      <c r="F65" s="6"/>
      <c r="G65" s="35">
        <f>(G63+D63-D64)</f>
        <v>19364031.521140691</v>
      </c>
      <c r="H65" s="36">
        <f>(H63+D63-D64)</f>
        <v>19581549.099235412</v>
      </c>
      <c r="I65" s="16"/>
      <c r="J65"/>
      <c r="K65" s="56" t="s">
        <v>1</v>
      </c>
      <c r="L65" s="63">
        <v>0.11988798441906318</v>
      </c>
      <c r="M65" s="61">
        <v>110.49552215659577</v>
      </c>
      <c r="N65" s="62">
        <v>117.80850498007754</v>
      </c>
      <c r="O65" s="64">
        <v>142.09180440838315</v>
      </c>
      <c r="P65" s="62">
        <v>142.09180440838315</v>
      </c>
      <c r="Q65" s="61">
        <v>164.28407907419739</v>
      </c>
    </row>
    <row r="66" spans="1:17" x14ac:dyDescent="0.25">
      <c r="A66" s="1"/>
      <c r="B66" s="3" t="s">
        <v>37</v>
      </c>
      <c r="C66" s="3"/>
      <c r="D66" s="40">
        <f>137043726/1000</f>
        <v>137043.726</v>
      </c>
      <c r="E66" s="3"/>
      <c r="F66" s="3"/>
      <c r="G66" s="3"/>
      <c r="H66" s="3"/>
      <c r="I66" s="16"/>
      <c r="J66" s="1"/>
      <c r="K66" s="56"/>
      <c r="L66" s="65">
        <f>L65+2%</f>
        <v>0.13988798441906317</v>
      </c>
      <c r="M66" s="61">
        <v>94.035593770109045</v>
      </c>
      <c r="N66" s="62">
        <v>98.805278532637914</v>
      </c>
      <c r="O66" s="62">
        <v>113.5315569892452</v>
      </c>
      <c r="P66" s="62">
        <v>113.5315569892452</v>
      </c>
      <c r="Q66" s="61">
        <v>125.73662851091615</v>
      </c>
    </row>
    <row r="67" spans="1:17" x14ac:dyDescent="0.25">
      <c r="A67" s="1"/>
      <c r="B67" s="18" t="s">
        <v>38</v>
      </c>
      <c r="C67" s="18"/>
      <c r="D67" s="18">
        <f>D66*$J$5</f>
        <v>21879030.855900001</v>
      </c>
      <c r="E67" s="18"/>
      <c r="F67" s="18"/>
      <c r="G67" s="18"/>
      <c r="H67" s="37"/>
      <c r="I67" s="1"/>
      <c r="J67" s="1"/>
      <c r="K67" s="56"/>
      <c r="L67" s="65">
        <f>L66+2%</f>
        <v>0.15988798441906316</v>
      </c>
      <c r="M67" s="61">
        <v>81.508250729497206</v>
      </c>
      <c r="N67" s="61">
        <v>84.728079579126685</v>
      </c>
      <c r="O67" s="61">
        <v>94.137725300045076</v>
      </c>
      <c r="P67" s="61">
        <v>94.137725300045076</v>
      </c>
      <c r="Q67" s="61">
        <v>101.3960658360261</v>
      </c>
    </row>
    <row r="68" spans="1:17" x14ac:dyDescent="0.25">
      <c r="A68" s="1"/>
      <c r="B68" s="6" t="s">
        <v>39</v>
      </c>
      <c r="C68" s="6" t="s">
        <v>40</v>
      </c>
      <c r="D68" s="38">
        <f>(G68+H68)/2</f>
        <v>142.09180440838315</v>
      </c>
      <c r="F68" s="6"/>
      <c r="G68" s="38">
        <f>G65/D66</f>
        <v>141.29819792801527</v>
      </c>
      <c r="H68" s="38">
        <f>H65/D66</f>
        <v>142.88541088875104</v>
      </c>
      <c r="I68" s="16"/>
      <c r="J68" s="1"/>
    </row>
    <row r="69" spans="1:17" x14ac:dyDescent="0.25">
      <c r="A69"/>
      <c r="C69" s="1"/>
      <c r="D6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6A8D0-EB60-4713-9C2D-7D0CE764B52F}">
  <dimension ref="A1:N21"/>
  <sheetViews>
    <sheetView workbookViewId="0">
      <selection activeCell="E8" sqref="E8"/>
    </sheetView>
  </sheetViews>
  <sheetFormatPr defaultRowHeight="15" x14ac:dyDescent="0.25"/>
  <cols>
    <col min="3" max="3" width="11.5703125" customWidth="1"/>
    <col min="11" max="11" width="11.7109375" customWidth="1"/>
  </cols>
  <sheetData>
    <row r="1" spans="1:14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4" ht="23.25" x14ac:dyDescent="0.35">
      <c r="A2" s="2"/>
      <c r="B2" s="42" t="s">
        <v>1</v>
      </c>
      <c r="C2" s="2"/>
      <c r="D2" s="2"/>
      <c r="E2" s="2"/>
      <c r="F2" s="2"/>
      <c r="G2" s="2"/>
      <c r="H2" s="2"/>
      <c r="I2" s="2"/>
      <c r="J2" s="2"/>
      <c r="K2" s="2"/>
      <c r="L2" s="43"/>
    </row>
    <row r="3" spans="1:14" x14ac:dyDescent="0.25">
      <c r="A3" s="44"/>
      <c r="B3" s="44"/>
      <c r="C3" s="44"/>
      <c r="D3" s="44"/>
      <c r="E3" s="44"/>
      <c r="F3" s="44"/>
      <c r="G3" s="44"/>
      <c r="H3" s="44"/>
      <c r="I3" s="44"/>
      <c r="J3" s="44"/>
      <c r="K3" s="44"/>
      <c r="L3" s="2"/>
    </row>
    <row r="4" spans="1:14" x14ac:dyDescent="0.25">
      <c r="A4" s="45" t="s">
        <v>42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</row>
    <row r="5" spans="1:1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4" x14ac:dyDescent="0.25">
      <c r="A6" s="2"/>
      <c r="B6" s="2" t="s">
        <v>43</v>
      </c>
      <c r="C6" s="2"/>
      <c r="D6" s="46">
        <f>ENPH!I42</f>
        <v>0.2056</v>
      </c>
      <c r="E6" s="2"/>
      <c r="F6" s="2"/>
      <c r="G6" s="2"/>
      <c r="H6" s="2"/>
      <c r="I6" s="2"/>
      <c r="J6" s="2"/>
      <c r="K6" s="2"/>
      <c r="L6" s="2"/>
    </row>
    <row r="7" spans="1:14" x14ac:dyDescent="0.25">
      <c r="A7" s="2"/>
      <c r="B7" s="2" t="s">
        <v>44</v>
      </c>
      <c r="C7" s="2"/>
      <c r="D7" s="46">
        <v>5.3999999999999999E-2</v>
      </c>
      <c r="E7" s="2"/>
      <c r="F7" s="2"/>
      <c r="G7" s="2"/>
      <c r="H7" s="2"/>
      <c r="I7" s="2"/>
      <c r="J7" s="2"/>
      <c r="K7" s="2"/>
      <c r="L7" s="2"/>
    </row>
    <row r="8" spans="1:14" x14ac:dyDescent="0.25">
      <c r="A8" s="2"/>
      <c r="B8" s="2" t="s">
        <v>45</v>
      </c>
      <c r="C8" s="2"/>
      <c r="D8" s="47">
        <v>1.53</v>
      </c>
      <c r="E8" s="2"/>
      <c r="F8" s="2"/>
      <c r="G8" s="2"/>
      <c r="H8" s="2"/>
      <c r="I8" s="2"/>
      <c r="J8" s="2"/>
      <c r="K8" s="2"/>
      <c r="L8" s="2"/>
    </row>
    <row r="9" spans="1:14" x14ac:dyDescent="0.25">
      <c r="A9" s="2"/>
      <c r="B9" s="2" t="s">
        <v>46</v>
      </c>
      <c r="C9" s="2"/>
      <c r="D9" s="46">
        <v>4.4999999999999998E-2</v>
      </c>
      <c r="E9" s="2"/>
      <c r="F9" s="2"/>
      <c r="G9" s="2"/>
      <c r="H9" s="2"/>
      <c r="I9" s="2"/>
      <c r="J9" s="2"/>
      <c r="K9" s="2"/>
      <c r="L9" s="2"/>
    </row>
    <row r="10" spans="1:1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40"/>
    </row>
    <row r="11" spans="1:1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4" x14ac:dyDescent="0.25">
      <c r="A12" s="2" t="s">
        <v>36</v>
      </c>
      <c r="B12" s="2"/>
      <c r="C12" s="25">
        <f>ENPH!D67</f>
        <v>21879030.855900001</v>
      </c>
      <c r="D12" s="2"/>
      <c r="E12" s="2" t="s">
        <v>35</v>
      </c>
      <c r="F12" s="2"/>
      <c r="G12" s="25">
        <f>ENPH!D64</f>
        <v>623135</v>
      </c>
      <c r="H12" s="2"/>
      <c r="I12" s="2" t="s">
        <v>47</v>
      </c>
      <c r="J12" s="2"/>
      <c r="K12" s="25">
        <f>G12+C12</f>
        <v>22502165.855900001</v>
      </c>
      <c r="L12" s="2"/>
    </row>
    <row r="13" spans="1:14" x14ac:dyDescent="0.25">
      <c r="A13" s="2" t="s">
        <v>48</v>
      </c>
      <c r="B13" s="2"/>
      <c r="C13" s="48">
        <f>C12/K12</f>
        <v>0.9723077767717806</v>
      </c>
      <c r="D13" s="2"/>
      <c r="E13" s="2" t="s">
        <v>49</v>
      </c>
      <c r="F13" s="2"/>
      <c r="G13" s="49">
        <f>G12/K12</f>
        <v>2.7692223228219424E-2</v>
      </c>
      <c r="H13" s="2"/>
      <c r="I13" s="2"/>
      <c r="J13" s="2"/>
      <c r="K13" s="2"/>
      <c r="L13" s="2"/>
      <c r="M13" s="40"/>
    </row>
    <row r="14" spans="1:14" x14ac:dyDescent="0.25">
      <c r="A14" s="2" t="s">
        <v>50</v>
      </c>
      <c r="B14" s="2"/>
      <c r="C14" s="50">
        <f>D7+D8*(D9)</f>
        <v>0.12284999999999999</v>
      </c>
      <c r="D14" s="2"/>
      <c r="E14" s="2" t="s">
        <v>51</v>
      </c>
      <c r="F14" s="2"/>
      <c r="G14" s="51">
        <v>0.02</v>
      </c>
      <c r="H14" s="2"/>
      <c r="I14" s="52" t="s">
        <v>1</v>
      </c>
      <c r="J14" s="53"/>
      <c r="K14" s="79">
        <f>C13*C14+G14*G13*(1-D6)</f>
        <v>0.11988798441906318</v>
      </c>
      <c r="L14" s="2"/>
    </row>
    <row r="15" spans="1:14" x14ac:dyDescent="0.25">
      <c r="D15" s="40"/>
      <c r="G15" s="40"/>
      <c r="J15" s="40"/>
      <c r="M15" s="40"/>
    </row>
    <row r="16" spans="1:14" x14ac:dyDescent="0.25">
      <c r="A16" t="s">
        <v>41</v>
      </c>
      <c r="B16" t="s">
        <v>41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</row>
    <row r="17" spans="4:13" x14ac:dyDescent="0.25">
      <c r="D17" s="40"/>
      <c r="G17" s="40"/>
      <c r="J17" s="40"/>
      <c r="M17" s="40"/>
    </row>
    <row r="21" spans="4:13" x14ac:dyDescent="0.25">
      <c r="D21" s="40"/>
      <c r="E21" s="40"/>
      <c r="F21" s="40"/>
      <c r="G21" s="40"/>
      <c r="H21" s="40"/>
      <c r="I21" s="40"/>
      <c r="J21" s="40"/>
      <c r="K21" s="40"/>
      <c r="L21" s="40"/>
      <c r="M21" s="4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ENPH</vt:lpstr>
      <vt:lpstr>WACC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2023-05-03T08:58:35Z</dcterms:created>
  <dcterms:modified xsi:type="dcterms:W3CDTF">2023-05-07T11:05:19Z</dcterms:modified>
</cp:coreProperties>
</file>