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1\Downloads\"/>
    </mc:Choice>
  </mc:AlternateContent>
  <xr:revisionPtr revIDLastSave="0" documentId="13_ncr:1_{758B6461-7116-4D1C-B79C-2E5DB38626B3}" xr6:coauthVersionLast="47" xr6:coauthVersionMax="47" xr10:uidLastSave="{00000000-0000-0000-0000-000000000000}"/>
  <bookViews>
    <workbookView xWindow="-120" yWindow="-120" windowWidth="20730" windowHeight="11040" xr2:uid="{E97059E9-2910-4C55-81B0-5F5723A83B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63" i="1"/>
  <c r="D62" i="1"/>
  <c r="G12" i="2" l="1"/>
  <c r="C12" i="2"/>
  <c r="D6" i="2"/>
  <c r="K14" i="2" s="1"/>
  <c r="K12" i="2" l="1"/>
  <c r="D59" i="1"/>
  <c r="I41" i="1"/>
  <c r="H27" i="1"/>
  <c r="I27" i="1"/>
  <c r="I19" i="1" s="1"/>
  <c r="I24" i="1"/>
  <c r="J11" i="1"/>
  <c r="J27" i="1" s="1"/>
  <c r="I11" i="1"/>
  <c r="I34" i="1" s="1"/>
  <c r="I37" i="1" s="1"/>
  <c r="C27" i="1"/>
  <c r="C28" i="1" s="1"/>
  <c r="D27" i="1"/>
  <c r="E27" i="1"/>
  <c r="E30" i="1" s="1"/>
  <c r="F27" i="1"/>
  <c r="F28" i="1" s="1"/>
  <c r="G27" i="1"/>
  <c r="G30" i="1" s="1"/>
  <c r="G32" i="1" s="1"/>
  <c r="D28" i="1"/>
  <c r="G28" i="1"/>
  <c r="G48" i="1"/>
  <c r="F48" i="1"/>
  <c r="E48" i="1"/>
  <c r="D48" i="1"/>
  <c r="C48" i="1"/>
  <c r="H48" i="1"/>
  <c r="H45" i="1"/>
  <c r="G45" i="1"/>
  <c r="F45" i="1"/>
  <c r="E45" i="1"/>
  <c r="D45" i="1"/>
  <c r="C45" i="1"/>
  <c r="H42" i="1"/>
  <c r="G42" i="1"/>
  <c r="F42" i="1"/>
  <c r="E42" i="1"/>
  <c r="D42" i="1"/>
  <c r="C42" i="1"/>
  <c r="H16" i="1"/>
  <c r="G16" i="1"/>
  <c r="G17" i="1" s="1"/>
  <c r="F16" i="1"/>
  <c r="F30" i="1" s="1"/>
  <c r="E16" i="1"/>
  <c r="E17" i="1" s="1"/>
  <c r="D16" i="1"/>
  <c r="C16" i="1"/>
  <c r="C17" i="1" s="1"/>
  <c r="H12" i="1"/>
  <c r="G12" i="1"/>
  <c r="F12" i="1"/>
  <c r="E12" i="1"/>
  <c r="D12" i="1"/>
  <c r="J9" i="1"/>
  <c r="K9" i="1" s="1"/>
  <c r="L9" i="1" s="1"/>
  <c r="M9" i="1" s="1"/>
  <c r="N9" i="1" s="1"/>
  <c r="O9" i="1" s="1"/>
  <c r="P9" i="1" s="1"/>
  <c r="Q9" i="1" s="1"/>
  <c r="R9" i="1" s="1"/>
  <c r="C13" i="2" l="1"/>
  <c r="G13" i="2"/>
  <c r="E5" i="1" s="1"/>
  <c r="F34" i="1"/>
  <c r="F32" i="1"/>
  <c r="F51" i="1" s="1"/>
  <c r="D30" i="1"/>
  <c r="I16" i="1"/>
  <c r="I30" i="1" s="1"/>
  <c r="C30" i="1"/>
  <c r="I50" i="1"/>
  <c r="I32" i="1"/>
  <c r="I51" i="1" s="1"/>
  <c r="K11" i="1"/>
  <c r="H30" i="1"/>
  <c r="H32" i="1" s="1"/>
  <c r="H51" i="1" s="1"/>
  <c r="E28" i="1"/>
  <c r="E34" i="1"/>
  <c r="E32" i="1"/>
  <c r="E51" i="1" s="1"/>
  <c r="D32" i="1"/>
  <c r="D51" i="1" s="1"/>
  <c r="D34" i="1"/>
  <c r="G51" i="1"/>
  <c r="H28" i="1"/>
  <c r="I45" i="1"/>
  <c r="I44" i="1" s="1"/>
  <c r="G34" i="1"/>
  <c r="F17" i="1"/>
  <c r="J24" i="1"/>
  <c r="K24" i="1" s="1"/>
  <c r="I14" i="1"/>
  <c r="H34" i="1"/>
  <c r="H50" i="1" s="1"/>
  <c r="H53" i="1" s="1"/>
  <c r="D17" i="1"/>
  <c r="H17" i="1"/>
  <c r="I47" i="1"/>
  <c r="I53" i="1" l="1"/>
  <c r="C34" i="1"/>
  <c r="C50" i="1" s="1"/>
  <c r="C53" i="1" s="1"/>
  <c r="C32" i="1"/>
  <c r="C51" i="1" s="1"/>
  <c r="L11" i="1"/>
  <c r="K27" i="1"/>
  <c r="C35" i="1"/>
  <c r="C38" i="1"/>
  <c r="G38" i="1"/>
  <c r="G35" i="1"/>
  <c r="G50" i="1"/>
  <c r="G53" i="1" s="1"/>
  <c r="E38" i="1"/>
  <c r="E35" i="1"/>
  <c r="E50" i="1"/>
  <c r="E53" i="1" s="1"/>
  <c r="H38" i="1"/>
  <c r="H35" i="1"/>
  <c r="F50" i="1"/>
  <c r="F53" i="1" s="1"/>
  <c r="F38" i="1"/>
  <c r="F35" i="1"/>
  <c r="D50" i="1"/>
  <c r="D53" i="1" s="1"/>
  <c r="D38" i="1"/>
  <c r="D35" i="1"/>
  <c r="J47" i="1"/>
  <c r="J44" i="1"/>
  <c r="J34" i="1"/>
  <c r="J16" i="1"/>
  <c r="L24" i="1"/>
  <c r="J37" i="1" l="1"/>
  <c r="J50" i="1" s="1"/>
  <c r="J32" i="1"/>
  <c r="M11" i="1"/>
  <c r="L27" i="1"/>
  <c r="I54" i="1"/>
  <c r="J41" i="1"/>
  <c r="M24" i="1"/>
  <c r="K47" i="1"/>
  <c r="K44" i="1"/>
  <c r="K34" i="1"/>
  <c r="K16" i="1"/>
  <c r="J14" i="1"/>
  <c r="J53" i="1" l="1"/>
  <c r="J54" i="1" s="1"/>
  <c r="K37" i="1"/>
  <c r="K50" i="1" s="1"/>
  <c r="K32" i="1"/>
  <c r="N11" i="1"/>
  <c r="M27" i="1"/>
  <c r="L34" i="1"/>
  <c r="L47" i="1"/>
  <c r="L44" i="1"/>
  <c r="L16" i="1"/>
  <c r="L14" i="1" s="1"/>
  <c r="K41" i="1"/>
  <c r="M41" i="1"/>
  <c r="K14" i="1"/>
  <c r="N24" i="1"/>
  <c r="L37" i="1" l="1"/>
  <c r="L50" i="1" s="1"/>
  <c r="L32" i="1"/>
  <c r="K53" i="1"/>
  <c r="K54" i="1" s="1"/>
  <c r="O11" i="1"/>
  <c r="N27" i="1"/>
  <c r="L41" i="1"/>
  <c r="O24" i="1"/>
  <c r="M47" i="1"/>
  <c r="M44" i="1"/>
  <c r="M34" i="1"/>
  <c r="M16" i="1"/>
  <c r="M37" i="1" l="1"/>
  <c r="M32" i="1"/>
  <c r="L53" i="1"/>
  <c r="P11" i="1"/>
  <c r="O27" i="1"/>
  <c r="N47" i="1"/>
  <c r="N44" i="1"/>
  <c r="N34" i="1"/>
  <c r="N16" i="1"/>
  <c r="N41" i="1"/>
  <c r="L54" i="1"/>
  <c r="P24" i="1"/>
  <c r="Q24" i="1" s="1"/>
  <c r="R24" i="1" s="1"/>
  <c r="O41" i="1"/>
  <c r="M14" i="1"/>
  <c r="M50" i="1"/>
  <c r="N37" i="1" l="1"/>
  <c r="N50" i="1" s="1"/>
  <c r="N32" i="1"/>
  <c r="M53" i="1"/>
  <c r="M54" i="1" s="1"/>
  <c r="Q11" i="1"/>
  <c r="P27" i="1"/>
  <c r="O47" i="1"/>
  <c r="O44" i="1"/>
  <c r="O34" i="1"/>
  <c r="O16" i="1"/>
  <c r="N14" i="1"/>
  <c r="O37" i="1" l="1"/>
  <c r="O50" i="1" s="1"/>
  <c r="O32" i="1"/>
  <c r="N53" i="1"/>
  <c r="N54" i="1" s="1"/>
  <c r="R11" i="1"/>
  <c r="R27" i="1" s="1"/>
  <c r="Q27" i="1"/>
  <c r="P34" i="1"/>
  <c r="P47" i="1"/>
  <c r="P44" i="1"/>
  <c r="P16" i="1"/>
  <c r="P14" i="1" s="1"/>
  <c r="P41" i="1"/>
  <c r="O14" i="1"/>
  <c r="O53" i="1" l="1"/>
  <c r="O54" i="1" s="1"/>
  <c r="P37" i="1"/>
  <c r="P50" i="1" s="1"/>
  <c r="P32" i="1"/>
  <c r="Q47" i="1"/>
  <c r="Q44" i="1"/>
  <c r="Q34" i="1"/>
  <c r="Q16" i="1"/>
  <c r="Q41" i="1"/>
  <c r="P53" i="1" l="1"/>
  <c r="P54" i="1" s="1"/>
  <c r="Q37" i="1"/>
  <c r="Q50" i="1" s="1"/>
  <c r="Q32" i="1"/>
  <c r="Q14" i="1"/>
  <c r="R47" i="1"/>
  <c r="R44" i="1"/>
  <c r="R34" i="1"/>
  <c r="R16" i="1"/>
  <c r="R41" i="1"/>
  <c r="Q53" i="1" l="1"/>
  <c r="Q54" i="1" s="1"/>
  <c r="R37" i="1"/>
  <c r="R50" i="1" s="1"/>
  <c r="R53" i="1" s="1"/>
  <c r="R32" i="1"/>
  <c r="R14" i="1"/>
  <c r="R54" i="1" l="1"/>
  <c r="C56" i="1"/>
  <c r="C57" i="1" s="1"/>
  <c r="G59" i="1" l="1"/>
  <c r="G61" i="1" l="1"/>
  <c r="G64" i="1" s="1"/>
  <c r="R30" i="1"/>
  <c r="Q30" i="1"/>
  <c r="P30" i="1"/>
  <c r="O30" i="1"/>
  <c r="N30" i="1"/>
  <c r="M30" i="1"/>
  <c r="L30" i="1"/>
  <c r="K30" i="1"/>
  <c r="J30" i="1"/>
  <c r="I20" i="1"/>
  <c r="I21" i="1"/>
  <c r="I22" i="1"/>
  <c r="I23" i="1"/>
  <c r="Q20" i="1"/>
  <c r="Q21" i="1"/>
  <c r="Q22" i="1"/>
  <c r="Q19" i="1"/>
  <c r="Q23" i="1"/>
  <c r="O20" i="1"/>
  <c r="O21" i="1"/>
  <c r="O22" i="1"/>
  <c r="O19" i="1"/>
  <c r="O23" i="1"/>
  <c r="M20" i="1"/>
  <c r="M21" i="1"/>
  <c r="M22" i="1"/>
  <c r="M19" i="1"/>
  <c r="M23" i="1"/>
  <c r="K20" i="1"/>
  <c r="K21" i="1"/>
  <c r="K22" i="1"/>
  <c r="K19" i="1"/>
  <c r="K23" i="1"/>
  <c r="R20" i="1"/>
  <c r="R21" i="1"/>
  <c r="R22" i="1"/>
  <c r="R19" i="1"/>
  <c r="R23" i="1"/>
  <c r="P20" i="1"/>
  <c r="P21" i="1"/>
  <c r="P22" i="1"/>
  <c r="P19" i="1"/>
  <c r="P23" i="1"/>
  <c r="N20" i="1"/>
  <c r="N21" i="1"/>
  <c r="N22" i="1"/>
  <c r="N19" i="1"/>
  <c r="N23" i="1"/>
  <c r="L20" i="1"/>
  <c r="L21" i="1"/>
  <c r="L22" i="1"/>
  <c r="L19" i="1"/>
  <c r="L23" i="1"/>
  <c r="J20" i="1"/>
  <c r="J21" i="1"/>
  <c r="J22" i="1"/>
  <c r="J19" i="1"/>
  <c r="J23" i="1"/>
  <c r="K51" i="1" l="1"/>
  <c r="L51" i="1"/>
  <c r="P51" i="1"/>
  <c r="Q51" i="1"/>
  <c r="N51" i="1"/>
  <c r="R51" i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J51" i="1"/>
  <c r="O51" i="1"/>
  <c r="M51" i="1"/>
  <c r="F56" i="1" l="1"/>
  <c r="H59" i="1" s="1"/>
  <c r="H61" i="1" s="1"/>
  <c r="H64" i="1" s="1"/>
  <c r="E64" i="1" s="1"/>
  <c r="J6" i="1" s="1"/>
  <c r="N5" i="1" s="1"/>
</calcChain>
</file>

<file path=xl/sharedStrings.xml><?xml version="1.0" encoding="utf-8"?>
<sst xmlns="http://schemas.openxmlformats.org/spreadsheetml/2006/main" count="66" uniqueCount="58">
  <si>
    <t xml:space="preserve">Valuation Assumptions: </t>
  </si>
  <si>
    <t>WACC</t>
  </si>
  <si>
    <t>Current price   :</t>
  </si>
  <si>
    <t xml:space="preserve">Upside/Downside : </t>
  </si>
  <si>
    <t>Terminal rate</t>
  </si>
  <si>
    <t xml:space="preserve">Implied price   : </t>
  </si>
  <si>
    <t>Income Statement</t>
  </si>
  <si>
    <t>Revenue</t>
  </si>
  <si>
    <t>% growth</t>
  </si>
  <si>
    <t>COGS</t>
  </si>
  <si>
    <t>Gross Profit</t>
  </si>
  <si>
    <t>% Gross Margin</t>
  </si>
  <si>
    <t>R&amp;D</t>
  </si>
  <si>
    <t>S&amp;M</t>
  </si>
  <si>
    <t>G&amp;A</t>
  </si>
  <si>
    <t xml:space="preserve">Other </t>
  </si>
  <si>
    <t>Opex</t>
  </si>
  <si>
    <t>% Rev</t>
  </si>
  <si>
    <t>Operating income</t>
  </si>
  <si>
    <t>Pre-tax income</t>
  </si>
  <si>
    <t>EBIT</t>
  </si>
  <si>
    <t>% Revenue</t>
  </si>
  <si>
    <t>Taxes</t>
  </si>
  <si>
    <t>% EBIT</t>
  </si>
  <si>
    <t>Cash Flow Statement</t>
  </si>
  <si>
    <t>D&amp;A</t>
  </si>
  <si>
    <t>CapEx</t>
  </si>
  <si>
    <t>change NWC</t>
  </si>
  <si>
    <t>EBIAT</t>
  </si>
  <si>
    <t>Net income</t>
  </si>
  <si>
    <t>FCF</t>
  </si>
  <si>
    <t>Present value FCF</t>
  </si>
  <si>
    <t>TV</t>
  </si>
  <si>
    <t>DNI</t>
  </si>
  <si>
    <t>PV of TV</t>
  </si>
  <si>
    <t>Enterprise Value</t>
  </si>
  <si>
    <t>DCF</t>
  </si>
  <si>
    <t>Cash</t>
  </si>
  <si>
    <t>Debt</t>
  </si>
  <si>
    <t>Equity Value</t>
  </si>
  <si>
    <t>Shares</t>
  </si>
  <si>
    <t xml:space="preserve">Current market cap </t>
  </si>
  <si>
    <t>Share Price</t>
  </si>
  <si>
    <t>Mean:</t>
  </si>
  <si>
    <t>Interest exp</t>
  </si>
  <si>
    <t>Interest income</t>
  </si>
  <si>
    <t>Other op</t>
  </si>
  <si>
    <t>Canadian Solar Inc.</t>
  </si>
  <si>
    <t xml:space="preserve">Assumpions: </t>
  </si>
  <si>
    <t>Tax Rate</t>
  </si>
  <si>
    <t>Risk Free Rate</t>
  </si>
  <si>
    <t>Beta</t>
  </si>
  <si>
    <t>Market Risk Premium</t>
  </si>
  <si>
    <t>D+E</t>
  </si>
  <si>
    <t>% Equity</t>
  </si>
  <si>
    <t>% Debt</t>
  </si>
  <si>
    <t>Cost of Equity</t>
  </si>
  <si>
    <t>Cost of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</si>
</sst>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EC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3" fillId="2" borderId="0" xfId="0" applyFont="1" applyFill="1"/>
    <xf numFmtId="0" fontId="0" fillId="2" borderId="0" xfId="0" applyFill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horizontal="left"/>
    </xf>
    <xf numFmtId="164" fontId="3" fillId="2" borderId="2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6" fillId="3" borderId="0" xfId="0" applyFont="1" applyFill="1"/>
    <xf numFmtId="0" fontId="6" fillId="4" borderId="0" xfId="0" applyFont="1" applyFill="1"/>
    <xf numFmtId="0" fontId="6" fillId="4" borderId="3" xfId="0" applyFont="1" applyFill="1" applyBorder="1"/>
    <xf numFmtId="3" fontId="3" fillId="2" borderId="0" xfId="0" applyNumberFormat="1" applyFont="1" applyFill="1"/>
    <xf numFmtId="0" fontId="3" fillId="2" borderId="4" xfId="0" applyFont="1" applyFill="1" applyBorder="1"/>
    <xf numFmtId="0" fontId="7" fillId="2" borderId="0" xfId="0" applyFont="1" applyFill="1"/>
    <xf numFmtId="164" fontId="7" fillId="2" borderId="0" xfId="1" applyNumberFormat="1" applyFont="1" applyFill="1"/>
    <xf numFmtId="0" fontId="3" fillId="2" borderId="3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1" fontId="3" fillId="2" borderId="3" xfId="0" applyNumberFormat="1" applyFont="1" applyFill="1" applyBorder="1"/>
    <xf numFmtId="1" fontId="3" fillId="2" borderId="0" xfId="0" applyNumberFormat="1" applyFont="1" applyFill="1"/>
    <xf numFmtId="1" fontId="3" fillId="0" borderId="4" xfId="0" applyNumberFormat="1" applyFont="1" applyBorder="1"/>
    <xf numFmtId="1" fontId="3" fillId="0" borderId="0" xfId="0" applyNumberFormat="1" applyFont="1"/>
    <xf numFmtId="164" fontId="9" fillId="2" borderId="4" xfId="1" applyNumberFormat="1" applyFont="1" applyFill="1" applyBorder="1"/>
    <xf numFmtId="164" fontId="7" fillId="2" borderId="4" xfId="1" applyNumberFormat="1" applyFont="1" applyFill="1" applyBorder="1"/>
    <xf numFmtId="1" fontId="3" fillId="2" borderId="4" xfId="0" applyNumberFormat="1" applyFont="1" applyFill="1" applyBorder="1"/>
    <xf numFmtId="164" fontId="3" fillId="2" borderId="0" xfId="1" applyNumberFormat="1" applyFont="1" applyFill="1"/>
    <xf numFmtId="10" fontId="3" fillId="2" borderId="0" xfId="1" applyNumberFormat="1" applyFont="1" applyFill="1"/>
    <xf numFmtId="0" fontId="0" fillId="2" borderId="4" xfId="0" applyFill="1" applyBorder="1"/>
    <xf numFmtId="3" fontId="0" fillId="2" borderId="0" xfId="0" applyNumberFormat="1" applyFill="1"/>
    <xf numFmtId="0" fontId="6" fillId="3" borderId="3" xfId="0" applyFont="1" applyFill="1" applyBorder="1"/>
    <xf numFmtId="0" fontId="3" fillId="4" borderId="0" xfId="0" applyFont="1" applyFill="1"/>
    <xf numFmtId="0" fontId="3" fillId="2" borderId="9" xfId="0" applyFont="1" applyFill="1" applyBorder="1"/>
    <xf numFmtId="0" fontId="3" fillId="2" borderId="10" xfId="0" applyFont="1" applyFill="1" applyBorder="1"/>
    <xf numFmtId="1" fontId="0" fillId="2" borderId="0" xfId="0" applyNumberFormat="1" applyFill="1"/>
    <xf numFmtId="1" fontId="0" fillId="2" borderId="6" xfId="0" applyNumberFormat="1" applyFill="1" applyBorder="1"/>
    <xf numFmtId="0" fontId="3" fillId="2" borderId="11" xfId="0" applyFont="1" applyFill="1" applyBorder="1"/>
    <xf numFmtId="0" fontId="0" fillId="2" borderId="6" xfId="0" applyFill="1" applyBorder="1"/>
    <xf numFmtId="0" fontId="0" fillId="5" borderId="0" xfId="0" applyFill="1"/>
    <xf numFmtId="0" fontId="3" fillId="2" borderId="0" xfId="0" quotePrefix="1" applyFont="1" applyFill="1"/>
    <xf numFmtId="0" fontId="3" fillId="2" borderId="1" xfId="0" quotePrefix="1" applyFont="1" applyFill="1" applyBorder="1"/>
    <xf numFmtId="3" fontId="6" fillId="2" borderId="0" xfId="0" applyNumberFormat="1" applyFont="1" applyFill="1"/>
    <xf numFmtId="3" fontId="2" fillId="2" borderId="0" xfId="0" applyNumberFormat="1" applyFont="1" applyFill="1"/>
    <xf numFmtId="0" fontId="0" fillId="2" borderId="8" xfId="0" applyFill="1" applyBorder="1"/>
    <xf numFmtId="0" fontId="3" fillId="2" borderId="12" xfId="0" applyFont="1" applyFill="1" applyBorder="1"/>
    <xf numFmtId="2" fontId="6" fillId="2" borderId="0" xfId="0" applyNumberFormat="1" applyFont="1" applyFill="1"/>
    <xf numFmtId="2" fontId="2" fillId="2" borderId="0" xfId="0" applyNumberFormat="1" applyFont="1" applyFill="1"/>
    <xf numFmtId="0" fontId="0" fillId="2" borderId="1" xfId="0" applyFill="1" applyBorder="1"/>
    <xf numFmtId="1" fontId="3" fillId="2" borderId="5" xfId="0" applyNumberFormat="1" applyFont="1" applyFill="1" applyBorder="1"/>
    <xf numFmtId="3" fontId="3" fillId="2" borderId="4" xfId="0" applyNumberFormat="1" applyFont="1" applyFill="1" applyBorder="1"/>
    <xf numFmtId="164" fontId="8" fillId="2" borderId="4" xfId="1" applyNumberFormat="1" applyFont="1" applyFill="1" applyBorder="1"/>
    <xf numFmtId="164" fontId="7" fillId="2" borderId="0" xfId="1" applyNumberFormat="1" applyFont="1" applyFill="1" applyBorder="1"/>
    <xf numFmtId="3" fontId="0" fillId="0" borderId="0" xfId="0" applyNumberFormat="1"/>
    <xf numFmtId="0" fontId="3" fillId="2" borderId="0" xfId="1" applyNumberFormat="1" applyFont="1" applyFill="1" applyBorder="1"/>
    <xf numFmtId="164" fontId="8" fillId="2" borderId="0" xfId="1" applyNumberFormat="1" applyFont="1" applyFill="1" applyBorder="1"/>
    <xf numFmtId="10" fontId="8" fillId="2" borderId="0" xfId="0" applyNumberFormat="1" applyFont="1" applyFill="1" applyBorder="1"/>
    <xf numFmtId="10" fontId="8" fillId="2" borderId="4" xfId="0" applyNumberFormat="1" applyFont="1" applyFill="1" applyBorder="1"/>
    <xf numFmtId="0" fontId="3" fillId="2" borderId="4" xfId="1" applyNumberFormat="1" applyFont="1" applyFill="1" applyBorder="1"/>
    <xf numFmtId="164" fontId="9" fillId="2" borderId="0" xfId="1" applyNumberFormat="1" applyFont="1" applyFill="1" applyBorder="1"/>
    <xf numFmtId="1" fontId="3" fillId="2" borderId="0" xfId="0" applyNumberFormat="1" applyFont="1" applyFill="1" applyBorder="1"/>
    <xf numFmtId="164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 applyBorder="1"/>
    <xf numFmtId="3" fontId="3" fillId="2" borderId="0" xfId="0" applyNumberFormat="1" applyFont="1" applyFill="1" applyBorder="1"/>
    <xf numFmtId="3" fontId="3" fillId="0" borderId="0" xfId="0" applyNumberFormat="1" applyFont="1" applyBorder="1"/>
    <xf numFmtId="164" fontId="3" fillId="2" borderId="4" xfId="0" applyNumberFormat="1" applyFont="1" applyFill="1" applyBorder="1"/>
    <xf numFmtId="3" fontId="3" fillId="0" borderId="13" xfId="0" applyNumberFormat="1" applyFont="1" applyBorder="1"/>
    <xf numFmtId="3" fontId="0" fillId="0" borderId="1" xfId="0" applyNumberFormat="1" applyBorder="1"/>
    <xf numFmtId="0" fontId="0" fillId="6" borderId="0" xfId="0" applyFill="1"/>
    <xf numFmtId="3" fontId="3" fillId="6" borderId="0" xfId="0" applyNumberFormat="1" applyFont="1" applyFill="1"/>
    <xf numFmtId="0" fontId="10" fillId="2" borderId="0" xfId="0" applyFont="1" applyFill="1"/>
    <xf numFmtId="0" fontId="0" fillId="2" borderId="7" xfId="0" applyFill="1" applyBorder="1"/>
    <xf numFmtId="0" fontId="0" fillId="7" borderId="0" xfId="0" applyFill="1"/>
    <xf numFmtId="164" fontId="0" fillId="8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9" fontId="0" fillId="2" borderId="0" xfId="1" applyFont="1" applyFill="1"/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164" fontId="0" fillId="2" borderId="2" xfId="0" applyNumberFormat="1" applyFill="1" applyBorder="1" applyAlignment="1">
      <alignment horizontal="right"/>
    </xf>
    <xf numFmtId="0" fontId="2" fillId="2" borderId="14" xfId="0" applyFont="1" applyFill="1" applyBorder="1"/>
    <xf numFmtId="0" fontId="0" fillId="2" borderId="15" xfId="0" applyFill="1" applyBorder="1"/>
    <xf numFmtId="10" fontId="2" fillId="2" borderId="16" xfId="0" applyNumberFormat="1" applyFont="1" applyFill="1" applyBorder="1"/>
    <xf numFmtId="1" fontId="3" fillId="2" borderId="7" xfId="0" applyNumberFormat="1" applyFont="1" applyFill="1" applyBorder="1"/>
    <xf numFmtId="10" fontId="8" fillId="0" borderId="4" xfId="0" applyNumberFormat="1" applyFont="1" applyFill="1" applyBorder="1"/>
    <xf numFmtId="10" fontId="8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CC6A-1916-486B-8E5D-62E23E630A75}">
  <dimension ref="A1:CH66"/>
  <sheetViews>
    <sheetView tabSelected="1" workbookViewId="0">
      <selection activeCell="N63" sqref="N63"/>
    </sheetView>
  </sheetViews>
  <sheetFormatPr defaultRowHeight="15" x14ac:dyDescent="0.25"/>
  <cols>
    <col min="2" max="2" width="16.140625" customWidth="1"/>
    <col min="4" max="4" width="11" bestFit="1" customWidth="1"/>
    <col min="7" max="7" width="12" customWidth="1"/>
    <col min="9" max="9" width="9" customWidth="1"/>
  </cols>
  <sheetData>
    <row r="1" spans="1:18" s="70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</row>
    <row r="2" spans="1:18" s="70" customFormat="1" ht="23.25" x14ac:dyDescent="0.35">
      <c r="A2" s="3"/>
      <c r="B2" s="4" t="s">
        <v>47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9"/>
    </row>
    <row r="3" spans="1:18" s="70" customFormat="1" ht="21" x14ac:dyDescent="0.35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4" spans="1:18" s="70" customFormat="1" x14ac:dyDescent="0.25">
      <c r="A4" s="1"/>
      <c r="B4" s="6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</row>
    <row r="5" spans="1:18" s="70" customFormat="1" x14ac:dyDescent="0.25">
      <c r="A5" s="1"/>
      <c r="B5" s="1"/>
      <c r="C5" s="7" t="s">
        <v>1</v>
      </c>
      <c r="D5" s="1"/>
      <c r="E5" s="8">
        <f>Sheet2!K14</f>
        <v>9.8859791522340174E-2</v>
      </c>
      <c r="F5" s="2"/>
      <c r="G5" s="1"/>
      <c r="H5" s="1" t="s">
        <v>2</v>
      </c>
      <c r="I5" s="1"/>
      <c r="J5" s="7">
        <v>36.07</v>
      </c>
      <c r="K5" s="1"/>
      <c r="L5" s="1" t="s">
        <v>3</v>
      </c>
      <c r="M5" s="1"/>
      <c r="N5" s="7">
        <f>(J6/J5)-1</f>
        <v>0.65760348718019612</v>
      </c>
      <c r="O5" s="1"/>
      <c r="P5" s="1"/>
      <c r="Q5" s="1"/>
      <c r="R5" s="2"/>
    </row>
    <row r="6" spans="1:18" s="70" customFormat="1" x14ac:dyDescent="0.25">
      <c r="A6" s="1"/>
      <c r="B6" s="1"/>
      <c r="C6" s="7" t="s">
        <v>4</v>
      </c>
      <c r="D6" s="1"/>
      <c r="E6" s="8">
        <v>-0.03</v>
      </c>
      <c r="F6" s="2"/>
      <c r="G6" s="1"/>
      <c r="H6" s="1" t="s">
        <v>5</v>
      </c>
      <c r="I6" s="1"/>
      <c r="J6" s="7">
        <f>E64</f>
        <v>59.789757782589675</v>
      </c>
      <c r="K6" s="1"/>
      <c r="L6" s="1"/>
      <c r="M6" s="1"/>
      <c r="N6" s="1"/>
      <c r="O6" s="1"/>
      <c r="P6" s="1"/>
      <c r="Q6" s="1"/>
      <c r="R6" s="2"/>
    </row>
    <row r="7" spans="1:18" s="70" customFormat="1" x14ac:dyDescent="0.25">
      <c r="A7" s="1"/>
      <c r="B7" s="1"/>
      <c r="C7" s="1"/>
      <c r="D7" s="1"/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8" s="70" customFormat="1" x14ac:dyDescent="0.25">
      <c r="A8" s="1"/>
      <c r="B8" s="1"/>
      <c r="C8" s="1"/>
      <c r="D8" s="1"/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</row>
    <row r="9" spans="1:18" s="70" customFormat="1" x14ac:dyDescent="0.25">
      <c r="A9" s="1"/>
      <c r="B9" s="1"/>
      <c r="C9" s="1"/>
      <c r="D9" s="1"/>
      <c r="E9" s="1"/>
      <c r="F9" s="1"/>
      <c r="G9" s="1"/>
      <c r="H9" s="1"/>
      <c r="I9" s="1">
        <v>1</v>
      </c>
      <c r="J9" s="1">
        <f>I9+1</f>
        <v>2</v>
      </c>
      <c r="K9" s="1">
        <f t="shared" ref="K9:R9" si="0">J9+1</f>
        <v>3</v>
      </c>
      <c r="L9" s="1">
        <f t="shared" si="0"/>
        <v>4</v>
      </c>
      <c r="M9" s="1">
        <f t="shared" si="0"/>
        <v>5</v>
      </c>
      <c r="N9" s="1">
        <f t="shared" si="0"/>
        <v>6</v>
      </c>
      <c r="O9" s="1">
        <f t="shared" si="0"/>
        <v>7</v>
      </c>
      <c r="P9" s="1">
        <f t="shared" si="0"/>
        <v>8</v>
      </c>
      <c r="Q9" s="1">
        <f t="shared" si="0"/>
        <v>9</v>
      </c>
      <c r="R9" s="1">
        <f t="shared" si="0"/>
        <v>10</v>
      </c>
    </row>
    <row r="10" spans="1:18" s="70" customFormat="1" x14ac:dyDescent="0.25">
      <c r="A10" s="1"/>
      <c r="B10" s="10" t="s">
        <v>6</v>
      </c>
      <c r="C10" s="10">
        <v>2017</v>
      </c>
      <c r="D10" s="10">
        <v>2018</v>
      </c>
      <c r="E10" s="10">
        <v>2019</v>
      </c>
      <c r="F10" s="11">
        <v>2020</v>
      </c>
      <c r="G10" s="10">
        <v>2021</v>
      </c>
      <c r="H10" s="10">
        <v>2022</v>
      </c>
      <c r="I10" s="12">
        <v>2023</v>
      </c>
      <c r="J10" s="11">
        <v>2024</v>
      </c>
      <c r="K10" s="11">
        <v>2025</v>
      </c>
      <c r="L10" s="11">
        <v>2026</v>
      </c>
      <c r="M10" s="11">
        <v>2027</v>
      </c>
      <c r="N10" s="11">
        <v>2028</v>
      </c>
      <c r="O10" s="11">
        <v>2029</v>
      </c>
      <c r="P10" s="11">
        <v>2030</v>
      </c>
      <c r="Q10" s="11">
        <v>2031</v>
      </c>
      <c r="R10" s="11">
        <v>2032</v>
      </c>
    </row>
    <row r="11" spans="1:18" s="70" customFormat="1" x14ac:dyDescent="0.25">
      <c r="A11" s="1"/>
      <c r="B11" s="1" t="s">
        <v>7</v>
      </c>
      <c r="C11" s="13">
        <v>3390393</v>
      </c>
      <c r="D11" s="13">
        <v>3744512</v>
      </c>
      <c r="E11" s="13">
        <v>3200583</v>
      </c>
      <c r="F11" s="13">
        <v>3476495</v>
      </c>
      <c r="G11" s="13">
        <v>5277169</v>
      </c>
      <c r="H11" s="13">
        <v>7468610</v>
      </c>
      <c r="I11" s="14">
        <f>H11*(1+I12)</f>
        <v>9190000</v>
      </c>
      <c r="J11" s="63">
        <f t="shared" ref="J11:R11" si="1">I11*(1+J12)</f>
        <v>9649500</v>
      </c>
      <c r="K11" s="63">
        <f t="shared" si="1"/>
        <v>10131975</v>
      </c>
      <c r="L11" s="63">
        <f t="shared" si="1"/>
        <v>10638573.75</v>
      </c>
      <c r="M11" s="63">
        <f t="shared" si="1"/>
        <v>11170502.4375</v>
      </c>
      <c r="N11" s="63">
        <f t="shared" si="1"/>
        <v>11729027.559375001</v>
      </c>
      <c r="O11" s="63">
        <f t="shared" si="1"/>
        <v>12315478.937343752</v>
      </c>
      <c r="P11" s="63">
        <f t="shared" si="1"/>
        <v>12931252.88421094</v>
      </c>
      <c r="Q11" s="63">
        <f t="shared" si="1"/>
        <v>13577815.528421488</v>
      </c>
      <c r="R11" s="63">
        <f t="shared" si="1"/>
        <v>14256706.304842563</v>
      </c>
    </row>
    <row r="12" spans="1:18" s="70" customFormat="1" x14ac:dyDescent="0.25">
      <c r="A12" s="1"/>
      <c r="B12" s="15" t="s">
        <v>8</v>
      </c>
      <c r="C12" s="16"/>
      <c r="D12" s="16">
        <f>(D11/C11)-1</f>
        <v>0.10444777345871104</v>
      </c>
      <c r="E12" s="16">
        <f>(E11/D11)-1</f>
        <v>-0.14526031696520136</v>
      </c>
      <c r="F12" s="16">
        <f>(F11/E11)-1</f>
        <v>8.6206794199681802E-2</v>
      </c>
      <c r="G12" s="16">
        <f>(G11/F11)-1</f>
        <v>0.51795673515998164</v>
      </c>
      <c r="H12" s="16">
        <f>(H11/G11)-1</f>
        <v>0.41526830010560589</v>
      </c>
      <c r="I12" s="52">
        <v>0.23048331617262119</v>
      </c>
      <c r="J12" s="56">
        <v>0.05</v>
      </c>
      <c r="K12" s="56">
        <v>0.05</v>
      </c>
      <c r="L12" s="56">
        <v>0.05</v>
      </c>
      <c r="M12" s="56">
        <v>0.05</v>
      </c>
      <c r="N12" s="56">
        <v>0.05</v>
      </c>
      <c r="O12" s="56">
        <v>0.05</v>
      </c>
      <c r="P12" s="56">
        <v>0.05</v>
      </c>
      <c r="Q12" s="56">
        <v>0.05</v>
      </c>
      <c r="R12" s="56">
        <v>0.05</v>
      </c>
    </row>
    <row r="13" spans="1:18" s="70" customFormat="1" x14ac:dyDescent="0.25">
      <c r="A13" s="1"/>
      <c r="B13" s="6"/>
      <c r="C13" s="1"/>
      <c r="D13" s="1"/>
      <c r="E13" s="1"/>
      <c r="F13" s="1"/>
      <c r="G13" s="1"/>
      <c r="H13" s="1"/>
      <c r="I13" s="17"/>
      <c r="J13" s="1"/>
      <c r="K13" s="1"/>
      <c r="L13" s="1"/>
      <c r="M13" s="1"/>
      <c r="N13" s="1"/>
      <c r="O13" s="1"/>
      <c r="P13" s="1"/>
      <c r="Q13" s="1"/>
      <c r="R13" s="2"/>
    </row>
    <row r="14" spans="1:18" s="70" customFormat="1" x14ac:dyDescent="0.25">
      <c r="A14" s="1"/>
      <c r="B14" s="1" t="s">
        <v>9</v>
      </c>
      <c r="C14" s="13">
        <v>2752795</v>
      </c>
      <c r="D14" s="13">
        <v>2969430</v>
      </c>
      <c r="E14" s="13">
        <v>2482086</v>
      </c>
      <c r="F14" s="13">
        <v>2786581</v>
      </c>
      <c r="G14" s="13">
        <v>4367857</v>
      </c>
      <c r="H14" s="13">
        <v>6205474</v>
      </c>
      <c r="I14" s="50">
        <f>I11-I16</f>
        <v>7627700</v>
      </c>
      <c r="J14" s="19">
        <f t="shared" ref="J14:R14" si="2">J11-J16</f>
        <v>8009085</v>
      </c>
      <c r="K14" s="19">
        <f t="shared" si="2"/>
        <v>8409539.25</v>
      </c>
      <c r="L14" s="19">
        <f t="shared" si="2"/>
        <v>8830016.2125000004</v>
      </c>
      <c r="M14" s="19">
        <f t="shared" si="2"/>
        <v>9271517.0231250003</v>
      </c>
      <c r="N14" s="19">
        <f t="shared" si="2"/>
        <v>9735092.8742812499</v>
      </c>
      <c r="O14" s="19">
        <f t="shared" si="2"/>
        <v>10221847.517995315</v>
      </c>
      <c r="P14" s="19">
        <f t="shared" si="2"/>
        <v>10732939.89389508</v>
      </c>
      <c r="Q14" s="19">
        <f t="shared" si="2"/>
        <v>11269586.888589835</v>
      </c>
      <c r="R14" s="19">
        <f t="shared" si="2"/>
        <v>11833066.233019328</v>
      </c>
    </row>
    <row r="15" spans="1:18" s="70" customFormat="1" x14ac:dyDescent="0.25">
      <c r="A15" s="1"/>
      <c r="B15" s="20"/>
      <c r="C15" s="20"/>
      <c r="D15" s="20"/>
      <c r="E15" s="20"/>
      <c r="F15" s="20"/>
      <c r="G15" s="20"/>
      <c r="H15" s="20"/>
      <c r="I15" s="17"/>
      <c r="J15" s="1"/>
      <c r="K15" s="1"/>
      <c r="L15" s="1"/>
      <c r="M15" s="1"/>
      <c r="N15" s="1"/>
      <c r="O15" s="1"/>
      <c r="P15" s="1"/>
      <c r="Q15" s="1"/>
      <c r="R15" s="2"/>
    </row>
    <row r="16" spans="1:18" s="70" customFormat="1" x14ac:dyDescent="0.25">
      <c r="A16" s="1"/>
      <c r="B16" s="1" t="s">
        <v>10</v>
      </c>
      <c r="C16" s="13">
        <f t="shared" ref="C16:H16" si="3">C11-C14</f>
        <v>637598</v>
      </c>
      <c r="D16" s="13">
        <f t="shared" si="3"/>
        <v>775082</v>
      </c>
      <c r="E16" s="13">
        <f t="shared" si="3"/>
        <v>718497</v>
      </c>
      <c r="F16" s="13">
        <f t="shared" si="3"/>
        <v>689914</v>
      </c>
      <c r="G16" s="13">
        <f t="shared" si="3"/>
        <v>909312</v>
      </c>
      <c r="H16" s="13">
        <f t="shared" si="3"/>
        <v>1263136</v>
      </c>
      <c r="I16" s="27">
        <f>I11*I17</f>
        <v>1562300</v>
      </c>
      <c r="J16" s="22">
        <f t="shared" ref="J16:R16" si="4">J11*J17</f>
        <v>1640415.0000000002</v>
      </c>
      <c r="K16" s="22">
        <f>K11*K17</f>
        <v>1722435.7500000002</v>
      </c>
      <c r="L16" s="22">
        <f t="shared" si="4"/>
        <v>1808557.5375000001</v>
      </c>
      <c r="M16" s="22">
        <f t="shared" si="4"/>
        <v>1898985.4143750002</v>
      </c>
      <c r="N16" s="22">
        <f t="shared" si="4"/>
        <v>1993934.6850937502</v>
      </c>
      <c r="O16" s="22">
        <f t="shared" si="4"/>
        <v>2093631.419348438</v>
      </c>
      <c r="P16" s="22">
        <f t="shared" si="4"/>
        <v>2198312.9903158601</v>
      </c>
      <c r="Q16" s="22">
        <f t="shared" si="4"/>
        <v>2308228.6398316529</v>
      </c>
      <c r="R16" s="22">
        <f t="shared" si="4"/>
        <v>2423640.0718232361</v>
      </c>
    </row>
    <row r="17" spans="1:18" s="70" customFormat="1" x14ac:dyDescent="0.25">
      <c r="A17" s="1"/>
      <c r="B17" s="15" t="s">
        <v>11</v>
      </c>
      <c r="C17" s="16">
        <f t="shared" ref="C17:H17" si="5">C16/C11</f>
        <v>0.1880602042300111</v>
      </c>
      <c r="D17" s="16">
        <f t="shared" si="5"/>
        <v>0.20699145843303479</v>
      </c>
      <c r="E17" s="16">
        <f t="shared" si="5"/>
        <v>0.22448941333500802</v>
      </c>
      <c r="F17" s="16">
        <f t="shared" si="5"/>
        <v>0.19845102610531584</v>
      </c>
      <c r="G17" s="16">
        <f t="shared" si="5"/>
        <v>0.17231057030767824</v>
      </c>
      <c r="H17" s="16">
        <f t="shared" si="5"/>
        <v>0.1691259819430925</v>
      </c>
      <c r="I17" s="58">
        <v>0.17</v>
      </c>
      <c r="J17" s="57">
        <v>0.17</v>
      </c>
      <c r="K17" s="57">
        <v>0.17</v>
      </c>
      <c r="L17" s="57">
        <v>0.17</v>
      </c>
      <c r="M17" s="57">
        <v>0.17</v>
      </c>
      <c r="N17" s="57">
        <v>0.17</v>
      </c>
      <c r="O17" s="57">
        <v>0.17</v>
      </c>
      <c r="P17" s="57">
        <v>0.17</v>
      </c>
      <c r="Q17" s="57">
        <v>0.17</v>
      </c>
      <c r="R17" s="57">
        <v>0.17</v>
      </c>
    </row>
    <row r="18" spans="1:18" s="70" customFormat="1" x14ac:dyDescent="0.25">
      <c r="A18" s="1"/>
      <c r="B18" s="6"/>
      <c r="C18" s="1"/>
      <c r="D18" s="1"/>
      <c r="E18" s="1"/>
      <c r="F18" s="1"/>
      <c r="G18" s="1"/>
      <c r="H18" s="1"/>
      <c r="I18" s="17"/>
      <c r="J18" s="1"/>
      <c r="K18" s="1"/>
      <c r="L18" s="1"/>
      <c r="M18" s="1"/>
      <c r="N18" s="1"/>
      <c r="O18" s="1"/>
      <c r="P18" s="1"/>
      <c r="Q18" s="1"/>
      <c r="R18" s="2"/>
    </row>
    <row r="19" spans="1:18" s="70" customFormat="1" x14ac:dyDescent="0.25">
      <c r="A19" s="1"/>
      <c r="B19" s="1" t="s">
        <v>12</v>
      </c>
      <c r="C19" s="13">
        <v>28777</v>
      </c>
      <c r="D19" s="13">
        <v>44193</v>
      </c>
      <c r="E19" s="13">
        <v>47045</v>
      </c>
      <c r="F19" s="13">
        <v>45167</v>
      </c>
      <c r="G19" s="13">
        <v>58407</v>
      </c>
      <c r="H19" s="13">
        <v>69822</v>
      </c>
      <c r="I19" s="59">
        <f>8.54%*I27</f>
        <v>102027.37999999999</v>
      </c>
      <c r="J19" s="55">
        <f t="shared" ref="J19:R19" si="6">8.54%*J27</f>
        <v>115369.42200000001</v>
      </c>
      <c r="K19" s="55">
        <f t="shared" si="6"/>
        <v>129790.59974999998</v>
      </c>
      <c r="L19" s="55">
        <f t="shared" si="6"/>
        <v>127194.787755</v>
      </c>
      <c r="M19" s="55">
        <f t="shared" si="6"/>
        <v>133554.52714274998</v>
      </c>
      <c r="N19" s="55">
        <f t="shared" si="6"/>
        <v>140232.25349988751</v>
      </c>
      <c r="O19" s="55">
        <f t="shared" si="6"/>
        <v>147243.8661748819</v>
      </c>
      <c r="P19" s="55">
        <f t="shared" si="6"/>
        <v>154606.05948362601</v>
      </c>
      <c r="Q19" s="55">
        <f t="shared" si="6"/>
        <v>162336.36245780729</v>
      </c>
      <c r="R19" s="55">
        <f t="shared" si="6"/>
        <v>170453.18058069769</v>
      </c>
    </row>
    <row r="20" spans="1:18" s="70" customFormat="1" x14ac:dyDescent="0.25">
      <c r="A20" s="1"/>
      <c r="B20" s="1" t="s">
        <v>14</v>
      </c>
      <c r="C20" s="13">
        <v>230998</v>
      </c>
      <c r="D20" s="13">
        <v>245376</v>
      </c>
      <c r="E20" s="13">
        <v>242783</v>
      </c>
      <c r="F20" s="13">
        <v>225597</v>
      </c>
      <c r="G20" s="13">
        <v>308942</v>
      </c>
      <c r="H20" s="13">
        <v>342129</v>
      </c>
      <c r="I20" s="27">
        <f>I27*0.37</f>
        <v>442039</v>
      </c>
      <c r="J20" s="22">
        <f t="shared" ref="J20:R20" si="7">J27*0.37</f>
        <v>499844.10000000009</v>
      </c>
      <c r="K20" s="22">
        <f t="shared" si="7"/>
        <v>562324.61250000005</v>
      </c>
      <c r="L20" s="22">
        <f t="shared" si="7"/>
        <v>551078.12025000004</v>
      </c>
      <c r="M20" s="22">
        <f t="shared" si="7"/>
        <v>578632.02626249997</v>
      </c>
      <c r="N20" s="22">
        <f t="shared" si="7"/>
        <v>607563.6275756252</v>
      </c>
      <c r="O20" s="22">
        <f t="shared" si="7"/>
        <v>637941.80895440641</v>
      </c>
      <c r="P20" s="22">
        <f t="shared" si="7"/>
        <v>669838.89940212679</v>
      </c>
      <c r="Q20" s="22">
        <f t="shared" si="7"/>
        <v>703330.84437223303</v>
      </c>
      <c r="R20" s="22">
        <f t="shared" si="7"/>
        <v>738497.38659084484</v>
      </c>
    </row>
    <row r="21" spans="1:18" s="70" customFormat="1" x14ac:dyDescent="0.25">
      <c r="A21" s="1"/>
      <c r="B21" s="1" t="s">
        <v>13</v>
      </c>
      <c r="C21" s="13">
        <v>156032</v>
      </c>
      <c r="D21" s="13">
        <v>165402</v>
      </c>
      <c r="E21" s="13">
        <v>180326</v>
      </c>
      <c r="F21" s="13">
        <v>224243</v>
      </c>
      <c r="G21" s="13">
        <v>398650</v>
      </c>
      <c r="H21" s="13">
        <v>558926</v>
      </c>
      <c r="I21" s="27">
        <f>I27*50%</f>
        <v>597350</v>
      </c>
      <c r="J21" s="22">
        <f t="shared" ref="J21:R21" si="8">J27*50%</f>
        <v>675465.00000000012</v>
      </c>
      <c r="K21" s="22">
        <f t="shared" si="8"/>
        <v>759898.125</v>
      </c>
      <c r="L21" s="22">
        <f t="shared" si="8"/>
        <v>744700.16250000009</v>
      </c>
      <c r="M21" s="22">
        <f t="shared" si="8"/>
        <v>781935.17062500003</v>
      </c>
      <c r="N21" s="22">
        <f t="shared" si="8"/>
        <v>821031.9291562502</v>
      </c>
      <c r="O21" s="22">
        <f t="shared" si="8"/>
        <v>862083.52561406267</v>
      </c>
      <c r="P21" s="22">
        <f t="shared" si="8"/>
        <v>905187.70189476595</v>
      </c>
      <c r="Q21" s="22">
        <f t="shared" si="8"/>
        <v>950447.08698950417</v>
      </c>
      <c r="R21" s="22">
        <f t="shared" si="8"/>
        <v>997969.44133897952</v>
      </c>
    </row>
    <row r="22" spans="1:18" s="70" customFormat="1" x14ac:dyDescent="0.25">
      <c r="A22" s="1"/>
      <c r="B22" s="1" t="s">
        <v>44</v>
      </c>
      <c r="C22" s="31">
        <v>-117971</v>
      </c>
      <c r="D22" s="31">
        <v>-106032</v>
      </c>
      <c r="E22" s="31">
        <v>-81326</v>
      </c>
      <c r="F22" s="31">
        <v>-71874</v>
      </c>
      <c r="G22" s="31">
        <v>-58153</v>
      </c>
      <c r="H22" s="31">
        <v>-74266</v>
      </c>
      <c r="I22" s="27">
        <f>-8%*I27</f>
        <v>-95576</v>
      </c>
      <c r="J22" s="22">
        <f t="shared" ref="J22:R22" si="9">-8%*J27</f>
        <v>-108074.40000000002</v>
      </c>
      <c r="K22" s="22">
        <f t="shared" si="9"/>
        <v>-121583.7</v>
      </c>
      <c r="L22" s="22">
        <f t="shared" si="9"/>
        <v>-119152.02600000001</v>
      </c>
      <c r="M22" s="22">
        <f t="shared" si="9"/>
        <v>-125109.62730000001</v>
      </c>
      <c r="N22" s="22">
        <f t="shared" si="9"/>
        <v>-131365.10866500004</v>
      </c>
      <c r="O22" s="22">
        <f t="shared" si="9"/>
        <v>-137933.36409825002</v>
      </c>
      <c r="P22" s="22">
        <f t="shared" si="9"/>
        <v>-144830.03230316256</v>
      </c>
      <c r="Q22" s="22">
        <f t="shared" si="9"/>
        <v>-152071.53391832067</v>
      </c>
      <c r="R22" s="22">
        <f t="shared" si="9"/>
        <v>-159675.11061423674</v>
      </c>
    </row>
    <row r="23" spans="1:18" s="70" customFormat="1" x14ac:dyDescent="0.25">
      <c r="A23" s="1"/>
      <c r="B23" s="1" t="s">
        <v>45</v>
      </c>
      <c r="C23" s="31">
        <v>10477</v>
      </c>
      <c r="D23" s="31">
        <v>11207</v>
      </c>
      <c r="E23" s="31">
        <v>12039</v>
      </c>
      <c r="F23" s="31">
        <v>9306</v>
      </c>
      <c r="G23" s="31">
        <v>11051</v>
      </c>
      <c r="H23" s="31">
        <v>40615</v>
      </c>
      <c r="I23" s="27">
        <f>3%*I27</f>
        <v>35841</v>
      </c>
      <c r="J23" s="22">
        <f t="shared" ref="J23:R23" si="10">3%*J27</f>
        <v>40527.900000000009</v>
      </c>
      <c r="K23" s="22">
        <f t="shared" si="10"/>
        <v>45593.887499999997</v>
      </c>
      <c r="L23" s="22">
        <f t="shared" si="10"/>
        <v>44682.009750000005</v>
      </c>
      <c r="M23" s="22">
        <f t="shared" si="10"/>
        <v>46916.110237499997</v>
      </c>
      <c r="N23" s="22">
        <f t="shared" si="10"/>
        <v>49261.91574937501</v>
      </c>
      <c r="O23" s="22">
        <f t="shared" si="10"/>
        <v>51725.011536843762</v>
      </c>
      <c r="P23" s="22">
        <f t="shared" si="10"/>
        <v>54311.262113685952</v>
      </c>
      <c r="Q23" s="22">
        <f t="shared" si="10"/>
        <v>57026.82521937025</v>
      </c>
      <c r="R23" s="22">
        <f t="shared" si="10"/>
        <v>59878.166480338768</v>
      </c>
    </row>
    <row r="24" spans="1:18" s="70" customFormat="1" x14ac:dyDescent="0.25">
      <c r="A24" s="1"/>
      <c r="B24" s="1" t="s">
        <v>46</v>
      </c>
      <c r="C24" s="13">
        <v>-47554</v>
      </c>
      <c r="D24" s="13">
        <v>-44546</v>
      </c>
      <c r="E24" s="13">
        <v>-10536</v>
      </c>
      <c r="F24" s="13">
        <v>-25523</v>
      </c>
      <c r="G24" s="13">
        <v>-47068</v>
      </c>
      <c r="H24" s="13">
        <v>-63802</v>
      </c>
      <c r="I24" s="51">
        <f>AVERAGE(C24:H24)</f>
        <v>-39838.166666666664</v>
      </c>
      <c r="J24" s="13">
        <f>AVERAGE(D24:I24)</f>
        <v>-38552.194444444445</v>
      </c>
      <c r="K24" s="13">
        <f t="shared" ref="K24:R24" si="11">AVERAGE(E24:J24)</f>
        <v>-37553.226851851847</v>
      </c>
      <c r="L24" s="13">
        <f t="shared" si="11"/>
        <v>-42056.097993827156</v>
      </c>
      <c r="M24" s="13">
        <f t="shared" si="11"/>
        <v>-44811.614326131683</v>
      </c>
      <c r="N24" s="13">
        <f t="shared" si="11"/>
        <v>-44435.550047153636</v>
      </c>
      <c r="O24" s="13">
        <f t="shared" si="11"/>
        <v>-41207.808388345904</v>
      </c>
      <c r="P24" s="13">
        <f t="shared" si="11"/>
        <v>-41436.082008625781</v>
      </c>
      <c r="Q24" s="13">
        <f t="shared" si="11"/>
        <v>-41916.729935989337</v>
      </c>
      <c r="R24" s="13">
        <f t="shared" si="11"/>
        <v>-42643.980450012248</v>
      </c>
    </row>
    <row r="25" spans="1:18" s="70" customFormat="1" x14ac:dyDescent="0.25">
      <c r="A25" s="1"/>
      <c r="B25" s="1" t="s">
        <v>15</v>
      </c>
      <c r="C25" s="13">
        <v>-27328</v>
      </c>
      <c r="D25" s="13">
        <v>28660</v>
      </c>
      <c r="E25" s="13">
        <v>-9919</v>
      </c>
      <c r="F25" s="13">
        <v>-23378</v>
      </c>
      <c r="G25" s="13">
        <v>-4815</v>
      </c>
      <c r="H25" s="1">
        <v>34058</v>
      </c>
      <c r="I25" s="51">
        <v>78850.933333333305</v>
      </c>
      <c r="J25" s="13">
        <v>24366.5333333333</v>
      </c>
      <c r="K25" s="13">
        <v>29882.133333333299</v>
      </c>
      <c r="L25" s="13">
        <v>35397.733333333301</v>
      </c>
      <c r="M25" s="13">
        <v>40913.333333333299</v>
      </c>
      <c r="N25" s="1">
        <v>46428.933333333298</v>
      </c>
      <c r="O25" s="13">
        <v>51944.533333333296</v>
      </c>
      <c r="P25" s="13">
        <v>57460.133333333302</v>
      </c>
      <c r="Q25" s="13">
        <v>62975.733333333301</v>
      </c>
      <c r="R25" s="13">
        <v>68491.333333333299</v>
      </c>
    </row>
    <row r="26" spans="1:18" s="70" customFormat="1" x14ac:dyDescent="0.25">
      <c r="A26" s="1"/>
      <c r="B26" s="1"/>
      <c r="C26" s="1"/>
      <c r="D26" s="1"/>
      <c r="E26" s="1"/>
      <c r="F26" s="1"/>
      <c r="G26" s="1"/>
      <c r="H26" s="1"/>
      <c r="I26" s="14"/>
      <c r="J26" s="22"/>
      <c r="K26" s="22"/>
      <c r="L26" s="1"/>
      <c r="M26" s="1"/>
      <c r="N26" s="1"/>
      <c r="O26" s="1"/>
      <c r="P26" s="1"/>
      <c r="Q26" s="1"/>
      <c r="R26" s="2"/>
    </row>
    <row r="27" spans="1:18" s="70" customFormat="1" x14ac:dyDescent="0.25">
      <c r="A27" s="1"/>
      <c r="B27" s="1" t="s">
        <v>16</v>
      </c>
      <c r="C27" s="13">
        <f>SUM(C19:C21,C24)</f>
        <v>368253</v>
      </c>
      <c r="D27" s="13">
        <f t="shared" ref="D27:G27" si="12">SUM(D19:D21,D24)</f>
        <v>410425</v>
      </c>
      <c r="E27" s="13">
        <f t="shared" si="12"/>
        <v>459618</v>
      </c>
      <c r="F27" s="13">
        <f t="shared" si="12"/>
        <v>469484</v>
      </c>
      <c r="G27" s="13">
        <f t="shared" si="12"/>
        <v>718931</v>
      </c>
      <c r="H27" s="13">
        <f>SUM(H19:H21,H24)</f>
        <v>907075</v>
      </c>
      <c r="I27" s="23">
        <f>I11*I28</f>
        <v>1194700</v>
      </c>
      <c r="J27" s="24">
        <f t="shared" ref="J27:R27" si="13">J11*J28</f>
        <v>1350930.0000000002</v>
      </c>
      <c r="K27" s="24">
        <f t="shared" si="13"/>
        <v>1519796.25</v>
      </c>
      <c r="L27" s="24">
        <f t="shared" si="13"/>
        <v>1489400.3250000002</v>
      </c>
      <c r="M27" s="24">
        <f t="shared" si="13"/>
        <v>1563870.3412500001</v>
      </c>
      <c r="N27" s="24">
        <f t="shared" si="13"/>
        <v>1642063.8583125004</v>
      </c>
      <c r="O27" s="24">
        <f t="shared" si="13"/>
        <v>1724167.0512281253</v>
      </c>
      <c r="P27" s="24">
        <f t="shared" si="13"/>
        <v>1810375.4037895319</v>
      </c>
      <c r="Q27" s="24">
        <f t="shared" si="13"/>
        <v>1900894.1739790083</v>
      </c>
      <c r="R27" s="24">
        <f t="shared" si="13"/>
        <v>1995938.882677959</v>
      </c>
    </row>
    <row r="28" spans="1:18" s="70" customFormat="1" x14ac:dyDescent="0.25">
      <c r="A28" s="1"/>
      <c r="B28" s="1" t="s">
        <v>17</v>
      </c>
      <c r="C28" s="16">
        <f t="shared" ref="C28:H28" si="14">C27/C11</f>
        <v>0.10861661170253714</v>
      </c>
      <c r="D28" s="16">
        <f t="shared" si="14"/>
        <v>0.10960707296438094</v>
      </c>
      <c r="E28" s="16">
        <f t="shared" si="14"/>
        <v>0.14360446206206806</v>
      </c>
      <c r="F28" s="16">
        <f t="shared" si="14"/>
        <v>0.13504521076544049</v>
      </c>
      <c r="G28" s="16">
        <f t="shared" si="14"/>
        <v>0.13623421952186865</v>
      </c>
      <c r="H28" s="16">
        <f t="shared" si="14"/>
        <v>0.12145164896814802</v>
      </c>
      <c r="I28" s="25">
        <v>0.13</v>
      </c>
      <c r="J28" s="60">
        <v>0.14000000000000001</v>
      </c>
      <c r="K28" s="60">
        <v>0.15</v>
      </c>
      <c r="L28" s="60">
        <v>0.14000000000000001</v>
      </c>
      <c r="M28" s="60">
        <v>0.14000000000000001</v>
      </c>
      <c r="N28" s="60">
        <v>0.14000000000000001</v>
      </c>
      <c r="O28" s="60">
        <v>0.14000000000000001</v>
      </c>
      <c r="P28" s="60">
        <v>0.14000000000000001</v>
      </c>
      <c r="Q28" s="60">
        <v>0.14000000000000001</v>
      </c>
      <c r="R28" s="60">
        <v>0.14000000000000001</v>
      </c>
    </row>
    <row r="29" spans="1:18" s="70" customFormat="1" x14ac:dyDescent="0.25">
      <c r="A29" s="1"/>
      <c r="B29" s="1"/>
      <c r="C29" s="16"/>
      <c r="D29" s="16"/>
      <c r="E29" s="16"/>
      <c r="F29" s="16"/>
      <c r="G29" s="16"/>
      <c r="H29" s="16"/>
      <c r="I29" s="26"/>
      <c r="J29" s="16"/>
      <c r="K29" s="16"/>
      <c r="L29" s="16"/>
      <c r="M29" s="16"/>
      <c r="N29" s="16"/>
      <c r="O29" s="16"/>
      <c r="P29" s="16"/>
      <c r="Q29" s="16"/>
      <c r="R29" s="16"/>
    </row>
    <row r="30" spans="1:18" s="70" customFormat="1" x14ac:dyDescent="0.25">
      <c r="A30" s="1"/>
      <c r="B30" s="1" t="s">
        <v>18</v>
      </c>
      <c r="C30" s="13">
        <f>C16-C27</f>
        <v>269345</v>
      </c>
      <c r="D30" s="13">
        <f t="shared" ref="D30:G30" si="15">D16-D27</f>
        <v>364657</v>
      </c>
      <c r="E30" s="13">
        <f t="shared" si="15"/>
        <v>258879</v>
      </c>
      <c r="F30" s="13">
        <f t="shared" si="15"/>
        <v>220430</v>
      </c>
      <c r="G30" s="13">
        <f t="shared" si="15"/>
        <v>190381</v>
      </c>
      <c r="H30" s="13">
        <f>H16-H27</f>
        <v>356061</v>
      </c>
      <c r="I30" s="51">
        <f>I16-I27</f>
        <v>367600</v>
      </c>
      <c r="J30" s="13">
        <f t="shared" ref="J30:R30" si="16">J16-J27</f>
        <v>289485</v>
      </c>
      <c r="K30" s="13">
        <f t="shared" si="16"/>
        <v>202639.50000000023</v>
      </c>
      <c r="L30" s="13">
        <f t="shared" si="16"/>
        <v>319157.21249999991</v>
      </c>
      <c r="M30" s="13">
        <f t="shared" si="16"/>
        <v>335115.07312500011</v>
      </c>
      <c r="N30" s="13">
        <f t="shared" si="16"/>
        <v>351870.82678124984</v>
      </c>
      <c r="O30" s="13">
        <f t="shared" si="16"/>
        <v>369464.36812031269</v>
      </c>
      <c r="P30" s="13">
        <f t="shared" si="16"/>
        <v>387937.58652632823</v>
      </c>
      <c r="Q30" s="13">
        <f t="shared" si="16"/>
        <v>407334.46585264453</v>
      </c>
      <c r="R30" s="13">
        <f t="shared" si="16"/>
        <v>427701.18914527702</v>
      </c>
    </row>
    <row r="31" spans="1:18" s="70" customFormat="1" x14ac:dyDescent="0.25">
      <c r="A31" s="1"/>
      <c r="B31" s="1"/>
      <c r="C31" s="29"/>
      <c r="D31" s="29"/>
      <c r="E31" s="29"/>
      <c r="F31" s="29"/>
      <c r="G31" s="29"/>
      <c r="H31" s="29"/>
      <c r="I31" s="30"/>
      <c r="J31" s="2"/>
      <c r="K31" s="2"/>
      <c r="L31" s="2"/>
      <c r="M31" s="2"/>
      <c r="N31" s="2"/>
      <c r="O31" s="2"/>
      <c r="P31" s="2"/>
      <c r="Q31" s="2"/>
      <c r="R31" s="2"/>
    </row>
    <row r="32" spans="1:18" s="70" customFormat="1" x14ac:dyDescent="0.25">
      <c r="A32" s="1"/>
      <c r="B32" s="1" t="s">
        <v>19</v>
      </c>
      <c r="C32" s="13">
        <f>C30+C22+C23+C25</f>
        <v>134523</v>
      </c>
      <c r="D32" s="13">
        <f t="shared" ref="D32:F32" si="17">D30+D22+D23+D25</f>
        <v>298492</v>
      </c>
      <c r="E32" s="13">
        <f t="shared" si="17"/>
        <v>179673</v>
      </c>
      <c r="F32" s="13">
        <f t="shared" si="17"/>
        <v>134484</v>
      </c>
      <c r="G32" s="13">
        <f>G30+G22+G23+G25</f>
        <v>138464</v>
      </c>
      <c r="H32" s="13">
        <f>H30+H22+H23+H25</f>
        <v>356468</v>
      </c>
      <c r="I32" s="51">
        <f>I34*82%</f>
        <v>414469</v>
      </c>
      <c r="J32" s="13">
        <f t="shared" ref="J32:R32" si="18">J34*82%</f>
        <v>395629.5</v>
      </c>
      <c r="K32" s="13">
        <f t="shared" si="18"/>
        <v>415410.97499999998</v>
      </c>
      <c r="L32" s="13">
        <f t="shared" si="18"/>
        <v>436181.52374999999</v>
      </c>
      <c r="M32" s="13">
        <f t="shared" si="18"/>
        <v>457990.59993750002</v>
      </c>
      <c r="N32" s="13">
        <f t="shared" si="18"/>
        <v>480890.12993437506</v>
      </c>
      <c r="O32" s="13">
        <f t="shared" si="18"/>
        <v>504934.63643109379</v>
      </c>
      <c r="P32" s="13">
        <f t="shared" si="18"/>
        <v>530181.36825264862</v>
      </c>
      <c r="Q32" s="13">
        <f t="shared" si="18"/>
        <v>556690.43666528095</v>
      </c>
      <c r="R32" s="13">
        <f t="shared" si="18"/>
        <v>584524.95849854511</v>
      </c>
    </row>
    <row r="33" spans="1:86" s="70" customFormat="1" x14ac:dyDescent="0.25">
      <c r="A33" s="1"/>
      <c r="B33" s="1"/>
      <c r="C33" s="29"/>
      <c r="D33" s="29"/>
      <c r="E33" s="29"/>
      <c r="F33" s="29"/>
      <c r="G33" s="29"/>
      <c r="H33" s="29"/>
      <c r="I33" s="17"/>
      <c r="J33" s="1"/>
      <c r="K33" s="1"/>
      <c r="L33" s="1"/>
      <c r="M33" s="1"/>
      <c r="N33" s="1"/>
      <c r="O33" s="1"/>
      <c r="P33" s="1"/>
      <c r="Q33" s="1"/>
      <c r="R33" s="2"/>
    </row>
    <row r="34" spans="1:86" s="70" customFormat="1" x14ac:dyDescent="0.25">
      <c r="A34" s="1"/>
      <c r="B34" s="1" t="s">
        <v>20</v>
      </c>
      <c r="C34" s="13">
        <f>C30</f>
        <v>269345</v>
      </c>
      <c r="D34" s="13">
        <f t="shared" ref="D34:H34" si="19">D30</f>
        <v>364657</v>
      </c>
      <c r="E34" s="13">
        <f t="shared" si="19"/>
        <v>258879</v>
      </c>
      <c r="F34" s="13">
        <f t="shared" si="19"/>
        <v>220430</v>
      </c>
      <c r="G34" s="13">
        <f t="shared" si="19"/>
        <v>190381</v>
      </c>
      <c r="H34" s="13">
        <f t="shared" si="19"/>
        <v>356061</v>
      </c>
      <c r="I34" s="14">
        <f>I35*I11</f>
        <v>505450</v>
      </c>
      <c r="J34" s="1">
        <f t="shared" ref="J34:R34" si="20">J35*J11</f>
        <v>482475</v>
      </c>
      <c r="K34" s="1">
        <f t="shared" si="20"/>
        <v>506598.75</v>
      </c>
      <c r="L34" s="1">
        <f t="shared" si="20"/>
        <v>531928.6875</v>
      </c>
      <c r="M34" s="1">
        <f t="shared" si="20"/>
        <v>558525.12187500007</v>
      </c>
      <c r="N34" s="1">
        <f t="shared" si="20"/>
        <v>586451.37796875008</v>
      </c>
      <c r="O34" s="1">
        <f t="shared" si="20"/>
        <v>615773.94686718762</v>
      </c>
      <c r="P34" s="1">
        <f t="shared" si="20"/>
        <v>646562.64421054709</v>
      </c>
      <c r="Q34" s="1">
        <f t="shared" si="20"/>
        <v>678890.77642107441</v>
      </c>
      <c r="R34" s="1">
        <f t="shared" si="20"/>
        <v>712835.31524212821</v>
      </c>
    </row>
    <row r="35" spans="1:86" s="70" customFormat="1" x14ac:dyDescent="0.25">
      <c r="A35" s="1"/>
      <c r="B35" s="15" t="s">
        <v>21</v>
      </c>
      <c r="C35" s="16">
        <f t="shared" ref="C35:H35" si="21">C34/C11</f>
        <v>7.9443592527473947E-2</v>
      </c>
      <c r="D35" s="16">
        <f t="shared" si="21"/>
        <v>9.7384385468653856E-2</v>
      </c>
      <c r="E35" s="16">
        <f t="shared" si="21"/>
        <v>8.0884951272939959E-2</v>
      </c>
      <c r="F35" s="16">
        <f t="shared" si="21"/>
        <v>6.3405815339875368E-2</v>
      </c>
      <c r="G35" s="16">
        <f t="shared" si="21"/>
        <v>3.6076350785809591E-2</v>
      </c>
      <c r="H35" s="16">
        <f t="shared" si="21"/>
        <v>4.7674332974944465E-2</v>
      </c>
      <c r="I35" s="52">
        <v>5.5E-2</v>
      </c>
      <c r="J35" s="56">
        <v>0.05</v>
      </c>
      <c r="K35" s="56">
        <v>0.05</v>
      </c>
      <c r="L35" s="56">
        <v>0.05</v>
      </c>
      <c r="M35" s="56">
        <v>0.05</v>
      </c>
      <c r="N35" s="56">
        <v>0.05</v>
      </c>
      <c r="O35" s="56">
        <v>0.05</v>
      </c>
      <c r="P35" s="56">
        <v>0.05</v>
      </c>
      <c r="Q35" s="56">
        <v>0.05</v>
      </c>
      <c r="R35" s="56">
        <v>0.05</v>
      </c>
    </row>
    <row r="36" spans="1:86" s="70" customFormat="1" x14ac:dyDescent="0.25">
      <c r="A36" s="1"/>
      <c r="B36" s="15"/>
      <c r="C36" s="1"/>
      <c r="D36" s="1"/>
      <c r="E36" s="1"/>
      <c r="F36" s="1"/>
      <c r="G36" s="1"/>
      <c r="H36" s="1"/>
      <c r="I36" s="14"/>
      <c r="J36" s="1"/>
      <c r="K36" s="1"/>
      <c r="L36" s="1"/>
      <c r="M36" s="1"/>
      <c r="N36" s="1"/>
      <c r="O36" s="1"/>
      <c r="P36" s="1"/>
      <c r="Q36" s="1"/>
      <c r="R36" s="1"/>
    </row>
    <row r="37" spans="1:86" s="70" customFormat="1" x14ac:dyDescent="0.25">
      <c r="A37" s="1"/>
      <c r="B37" s="1" t="s">
        <v>22</v>
      </c>
      <c r="C37" s="13">
        <v>31540</v>
      </c>
      <c r="D37" s="13">
        <v>56061</v>
      </c>
      <c r="E37" s="13">
        <v>13118</v>
      </c>
      <c r="F37" s="31">
        <v>12762</v>
      </c>
      <c r="G37" s="13">
        <v>28588</v>
      </c>
      <c r="H37" s="13">
        <v>57913</v>
      </c>
      <c r="I37" s="27">
        <f>I34*I38</f>
        <v>90981</v>
      </c>
      <c r="J37" s="61">
        <f t="shared" ref="J37:R37" si="22">J34*J38</f>
        <v>86845.5</v>
      </c>
      <c r="K37" s="61">
        <f t="shared" si="22"/>
        <v>91187.774999999994</v>
      </c>
      <c r="L37" s="61">
        <f t="shared" si="22"/>
        <v>95747.163749999992</v>
      </c>
      <c r="M37" s="61">
        <f t="shared" si="22"/>
        <v>100534.52193750002</v>
      </c>
      <c r="N37" s="61">
        <f t="shared" si="22"/>
        <v>105561.24803437501</v>
      </c>
      <c r="O37" s="61">
        <f t="shared" si="22"/>
        <v>110839.31043609377</v>
      </c>
      <c r="P37" s="61">
        <f t="shared" si="22"/>
        <v>116381.27595789847</v>
      </c>
      <c r="Q37" s="61">
        <f t="shared" si="22"/>
        <v>122200.33975579339</v>
      </c>
      <c r="R37" s="61">
        <f t="shared" si="22"/>
        <v>128310.35674358308</v>
      </c>
    </row>
    <row r="38" spans="1:86" s="70" customFormat="1" x14ac:dyDescent="0.25">
      <c r="A38" s="1"/>
      <c r="B38" s="15" t="s">
        <v>23</v>
      </c>
      <c r="C38" s="28">
        <f t="shared" ref="C38:H38" si="23">C37/C34</f>
        <v>0.11709888804321594</v>
      </c>
      <c r="D38" s="28">
        <f t="shared" si="23"/>
        <v>0.1537362507781285</v>
      </c>
      <c r="E38" s="28">
        <f t="shared" si="23"/>
        <v>5.0672321818301211E-2</v>
      </c>
      <c r="F38" s="28">
        <f t="shared" si="23"/>
        <v>5.7895930680941794E-2</v>
      </c>
      <c r="G38" s="28">
        <f t="shared" si="23"/>
        <v>0.15016204348122975</v>
      </c>
      <c r="H38" s="28">
        <f t="shared" si="23"/>
        <v>0.16264909664355265</v>
      </c>
      <c r="I38" s="85">
        <v>0.18</v>
      </c>
      <c r="J38" s="86">
        <v>0.18</v>
      </c>
      <c r="K38" s="86">
        <v>0.18</v>
      </c>
      <c r="L38" s="86">
        <v>0.18</v>
      </c>
      <c r="M38" s="86">
        <v>0.18</v>
      </c>
      <c r="N38" s="86">
        <v>0.18</v>
      </c>
      <c r="O38" s="86">
        <v>0.18</v>
      </c>
      <c r="P38" s="86">
        <v>0.18</v>
      </c>
      <c r="Q38" s="86">
        <v>0.18</v>
      </c>
      <c r="R38" s="86">
        <v>0.18</v>
      </c>
    </row>
    <row r="39" spans="1:86" s="70" customFormat="1" x14ac:dyDescent="0.25">
      <c r="A39" s="1"/>
      <c r="B39" s="1"/>
      <c r="C39" s="1"/>
      <c r="D39" s="1"/>
      <c r="E39" s="1"/>
      <c r="F39" s="1"/>
      <c r="G39" s="1"/>
      <c r="H39" s="1"/>
      <c r="I39" s="17"/>
      <c r="J39" s="1"/>
      <c r="K39" s="1"/>
      <c r="L39" s="1"/>
      <c r="M39" s="1"/>
      <c r="N39" s="1"/>
      <c r="O39" s="1"/>
      <c r="P39" s="1"/>
      <c r="Q39" s="1"/>
      <c r="R39" s="2"/>
    </row>
    <row r="40" spans="1:86" s="70" customFormat="1" x14ac:dyDescent="0.25">
      <c r="A40" s="1"/>
      <c r="B40" s="10" t="s">
        <v>24</v>
      </c>
      <c r="C40" s="10">
        <v>2017</v>
      </c>
      <c r="D40" s="10">
        <v>2018</v>
      </c>
      <c r="E40" s="10">
        <v>2019</v>
      </c>
      <c r="F40" s="11">
        <v>2020</v>
      </c>
      <c r="G40" s="10">
        <v>2021</v>
      </c>
      <c r="H40" s="10">
        <v>2022</v>
      </c>
      <c r="I40" s="32">
        <v>2023</v>
      </c>
      <c r="J40" s="10">
        <v>2024</v>
      </c>
      <c r="K40" s="10">
        <v>2025</v>
      </c>
      <c r="L40" s="10">
        <v>2026</v>
      </c>
      <c r="M40" s="10">
        <v>2027</v>
      </c>
      <c r="N40" s="10">
        <v>2028</v>
      </c>
      <c r="O40" s="10">
        <v>2029</v>
      </c>
      <c r="P40" s="10">
        <v>2030</v>
      </c>
      <c r="Q40" s="10">
        <v>2031</v>
      </c>
      <c r="R40" s="10">
        <v>2032</v>
      </c>
      <c r="S40" s="10">
        <v>2033</v>
      </c>
      <c r="T40" s="10">
        <v>2034</v>
      </c>
      <c r="U40" s="10">
        <v>2035</v>
      </c>
      <c r="V40" s="10">
        <v>2036</v>
      </c>
      <c r="W40" s="10">
        <v>2037</v>
      </c>
      <c r="X40" s="10">
        <v>2038</v>
      </c>
      <c r="Y40" s="10">
        <v>2039</v>
      </c>
      <c r="Z40" s="10">
        <v>2040</v>
      </c>
      <c r="AA40" s="10">
        <v>2041</v>
      </c>
      <c r="AB40" s="10">
        <v>2042</v>
      </c>
      <c r="AC40" s="10">
        <v>2043</v>
      </c>
      <c r="AD40" s="10">
        <v>2044</v>
      </c>
      <c r="AE40" s="10">
        <v>2045</v>
      </c>
      <c r="AF40" s="10">
        <v>2046</v>
      </c>
      <c r="AG40" s="10">
        <v>2047</v>
      </c>
      <c r="AH40" s="10">
        <v>2048</v>
      </c>
      <c r="AI40" s="10">
        <v>2049</v>
      </c>
      <c r="AJ40" s="10">
        <v>2050</v>
      </c>
      <c r="AK40" s="10">
        <v>2051</v>
      </c>
      <c r="AL40" s="10">
        <v>2052</v>
      </c>
      <c r="AM40" s="10">
        <v>2053</v>
      </c>
      <c r="AN40" s="10">
        <v>2054</v>
      </c>
      <c r="AO40" s="10">
        <v>2055</v>
      </c>
      <c r="AP40" s="10">
        <v>2056</v>
      </c>
      <c r="AQ40" s="10">
        <v>2057</v>
      </c>
      <c r="AR40" s="10">
        <v>2058</v>
      </c>
      <c r="AS40" s="10">
        <v>2059</v>
      </c>
      <c r="AT40" s="10">
        <v>2060</v>
      </c>
      <c r="AU40" s="10">
        <v>2061</v>
      </c>
      <c r="AV40" s="10">
        <v>2062</v>
      </c>
      <c r="AW40" s="10">
        <v>2063</v>
      </c>
      <c r="AX40" s="10">
        <v>2064</v>
      </c>
      <c r="AY40" s="10">
        <v>2065</v>
      </c>
      <c r="AZ40" s="10">
        <v>2066</v>
      </c>
      <c r="BA40" s="10">
        <v>2067</v>
      </c>
      <c r="BB40" s="10">
        <v>2068</v>
      </c>
      <c r="BC40" s="10">
        <v>2069</v>
      </c>
      <c r="BD40" s="10">
        <v>2070</v>
      </c>
      <c r="BE40" s="10">
        <v>2071</v>
      </c>
      <c r="BF40" s="10">
        <v>2072</v>
      </c>
      <c r="BG40" s="10">
        <v>2073</v>
      </c>
      <c r="BH40" s="10">
        <v>2074</v>
      </c>
      <c r="BI40" s="10">
        <v>2075</v>
      </c>
      <c r="BJ40" s="10">
        <v>2076</v>
      </c>
      <c r="BK40" s="10">
        <v>2077</v>
      </c>
      <c r="BL40" s="10">
        <v>2078</v>
      </c>
      <c r="BM40" s="10">
        <v>2079</v>
      </c>
      <c r="BN40" s="10">
        <v>2080</v>
      </c>
      <c r="BO40" s="10">
        <v>2081</v>
      </c>
      <c r="BP40" s="10">
        <v>2082</v>
      </c>
      <c r="BQ40" s="10">
        <v>2083</v>
      </c>
      <c r="BR40" s="10">
        <v>2084</v>
      </c>
      <c r="BS40" s="10">
        <v>2085</v>
      </c>
      <c r="BT40" s="10">
        <v>2086</v>
      </c>
      <c r="BU40" s="10">
        <v>2087</v>
      </c>
      <c r="BV40" s="10">
        <v>2088</v>
      </c>
      <c r="BW40" s="10">
        <v>2089</v>
      </c>
      <c r="BX40" s="10">
        <v>2090</v>
      </c>
      <c r="BY40" s="10">
        <v>2091</v>
      </c>
      <c r="BZ40" s="10">
        <v>2092</v>
      </c>
      <c r="CA40" s="10">
        <v>2093</v>
      </c>
      <c r="CB40" s="10">
        <v>2094</v>
      </c>
      <c r="CC40" s="10">
        <v>2095</v>
      </c>
      <c r="CD40" s="10">
        <v>2096</v>
      </c>
      <c r="CE40" s="10">
        <v>2097</v>
      </c>
      <c r="CF40" s="10">
        <v>2098</v>
      </c>
      <c r="CG40" s="10">
        <v>2099</v>
      </c>
      <c r="CH40" s="10">
        <v>2100</v>
      </c>
    </row>
    <row r="41" spans="1:86" s="70" customFormat="1" x14ac:dyDescent="0.25">
      <c r="A41" s="1"/>
      <c r="B41" s="1" t="s">
        <v>25</v>
      </c>
      <c r="C41" s="13">
        <v>99273</v>
      </c>
      <c r="D41" s="13">
        <v>129256</v>
      </c>
      <c r="E41" s="13">
        <v>159723</v>
      </c>
      <c r="F41" s="31">
        <v>209118</v>
      </c>
      <c r="G41" s="13">
        <v>282769</v>
      </c>
      <c r="H41" s="13">
        <v>234559</v>
      </c>
      <c r="I41" s="14">
        <f>I42*I11</f>
        <v>321650.00000000006</v>
      </c>
      <c r="J41" s="1">
        <f t="shared" ref="J41:R41" si="24">J42*J11</f>
        <v>385980</v>
      </c>
      <c r="K41" s="1">
        <f t="shared" si="24"/>
        <v>506598.75</v>
      </c>
      <c r="L41" s="1">
        <f t="shared" si="24"/>
        <v>531928.6875</v>
      </c>
      <c r="M41" s="1">
        <f t="shared" si="24"/>
        <v>558525.12187500007</v>
      </c>
      <c r="N41" s="1">
        <f t="shared" si="24"/>
        <v>586451.37796875008</v>
      </c>
      <c r="O41" s="1">
        <f t="shared" si="24"/>
        <v>615773.94686718762</v>
      </c>
      <c r="P41" s="1">
        <f t="shared" si="24"/>
        <v>646562.64421054709</v>
      </c>
      <c r="Q41" s="1">
        <f t="shared" si="24"/>
        <v>678890.77642107441</v>
      </c>
      <c r="R41" s="1">
        <f t="shared" si="24"/>
        <v>712835.31524212821</v>
      </c>
    </row>
    <row r="42" spans="1:86" s="70" customFormat="1" x14ac:dyDescent="0.25">
      <c r="A42" s="1"/>
      <c r="B42" s="15" t="s">
        <v>21</v>
      </c>
      <c r="C42" s="16">
        <f t="shared" ref="C42:H42" si="25">C41/C11</f>
        <v>2.9280676310976337E-2</v>
      </c>
      <c r="D42" s="16">
        <f t="shared" si="25"/>
        <v>3.4518783756067546E-2</v>
      </c>
      <c r="E42" s="16">
        <f t="shared" si="25"/>
        <v>4.9904345552044739E-2</v>
      </c>
      <c r="F42" s="16">
        <f t="shared" si="25"/>
        <v>6.0151963399918594E-2</v>
      </c>
      <c r="G42" s="16">
        <f t="shared" si="25"/>
        <v>5.358346492219597E-2</v>
      </c>
      <c r="H42" s="16">
        <f t="shared" si="25"/>
        <v>3.1405977819165813E-2</v>
      </c>
      <c r="I42" s="26">
        <v>3.5000000000000003E-2</v>
      </c>
      <c r="J42" s="53">
        <v>0.04</v>
      </c>
      <c r="K42" s="53">
        <v>0.05</v>
      </c>
      <c r="L42" s="53">
        <v>0.05</v>
      </c>
      <c r="M42" s="53">
        <v>0.05</v>
      </c>
      <c r="N42" s="53">
        <v>0.05</v>
      </c>
      <c r="O42" s="53">
        <v>0.05</v>
      </c>
      <c r="P42" s="53">
        <v>0.05</v>
      </c>
      <c r="Q42" s="53">
        <v>0.05</v>
      </c>
      <c r="R42" s="53">
        <v>0.05</v>
      </c>
    </row>
    <row r="43" spans="1:86" s="70" customFormat="1" x14ac:dyDescent="0.25">
      <c r="A43" s="1"/>
      <c r="B43" s="1"/>
      <c r="C43" s="1"/>
      <c r="D43" s="1"/>
      <c r="E43" s="1"/>
      <c r="F43" s="2"/>
      <c r="G43" s="1"/>
      <c r="H43" s="1"/>
      <c r="I43" s="17"/>
      <c r="J43" s="1"/>
      <c r="K43" s="1"/>
      <c r="L43" s="1"/>
      <c r="M43" s="1"/>
      <c r="N43" s="1"/>
      <c r="O43" s="2"/>
      <c r="P43" s="2"/>
      <c r="Q43" s="2"/>
      <c r="R43" s="2"/>
    </row>
    <row r="44" spans="1:86" s="70" customFormat="1" x14ac:dyDescent="0.25">
      <c r="A44" s="1"/>
      <c r="B44" s="1" t="s">
        <v>26</v>
      </c>
      <c r="C44" s="13">
        <v>-276978</v>
      </c>
      <c r="D44" s="13">
        <v>-316282</v>
      </c>
      <c r="E44" s="54">
        <v>-291182</v>
      </c>
      <c r="F44" s="31">
        <v>-334781</v>
      </c>
      <c r="G44" s="13">
        <v>-428725</v>
      </c>
      <c r="H44" s="13">
        <v>-627115</v>
      </c>
      <c r="I44" s="14">
        <f t="shared" ref="I44:R44" si="26">I45*I11</f>
        <v>-794391.10285864735</v>
      </c>
      <c r="J44" s="1">
        <f t="shared" si="26"/>
        <v>-675465.00000000012</v>
      </c>
      <c r="K44" s="1">
        <f t="shared" si="26"/>
        <v>-709238.25000000012</v>
      </c>
      <c r="L44" s="1">
        <f t="shared" si="26"/>
        <v>-744700.16250000009</v>
      </c>
      <c r="M44" s="1">
        <f t="shared" si="26"/>
        <v>-781935.17062500003</v>
      </c>
      <c r="N44" s="1">
        <f t="shared" si="26"/>
        <v>-821031.9291562502</v>
      </c>
      <c r="O44" s="1">
        <f t="shared" si="26"/>
        <v>-862083.52561406267</v>
      </c>
      <c r="P44" s="1">
        <f t="shared" si="26"/>
        <v>-905187.70189476595</v>
      </c>
      <c r="Q44" s="1">
        <f t="shared" si="26"/>
        <v>-950447.08698950417</v>
      </c>
      <c r="R44" s="1">
        <f t="shared" si="26"/>
        <v>-997969.44133897952</v>
      </c>
    </row>
    <row r="45" spans="1:86" s="70" customFormat="1" x14ac:dyDescent="0.25">
      <c r="A45" s="1"/>
      <c r="B45" s="15" t="s">
        <v>21</v>
      </c>
      <c r="C45" s="16">
        <f t="shared" ref="C45:H45" si="27">C44/C11</f>
        <v>-8.1694953947816673E-2</v>
      </c>
      <c r="D45" s="16">
        <f t="shared" si="27"/>
        <v>-8.4465479079783967E-2</v>
      </c>
      <c r="E45" s="16">
        <f t="shared" si="27"/>
        <v>-9.0977799982065774E-2</v>
      </c>
      <c r="F45" s="16">
        <f t="shared" si="27"/>
        <v>-9.6298427007661447E-2</v>
      </c>
      <c r="G45" s="16">
        <f t="shared" si="27"/>
        <v>-8.1241476253650399E-2</v>
      </c>
      <c r="H45" s="16">
        <f t="shared" si="27"/>
        <v>-8.3966762222153782E-2</v>
      </c>
      <c r="I45" s="26">
        <f>AVERAGE(C45:H45)</f>
        <v>-8.6440816415522023E-2</v>
      </c>
      <c r="J45" s="53">
        <v>-7.0000000000000007E-2</v>
      </c>
      <c r="K45" s="53">
        <v>-7.0000000000000007E-2</v>
      </c>
      <c r="L45" s="53">
        <v>-7.0000000000000007E-2</v>
      </c>
      <c r="M45" s="53">
        <v>-7.0000000000000007E-2</v>
      </c>
      <c r="N45" s="53">
        <v>-7.0000000000000007E-2</v>
      </c>
      <c r="O45" s="53">
        <v>-7.0000000000000007E-2</v>
      </c>
      <c r="P45" s="53">
        <v>-7.0000000000000007E-2</v>
      </c>
      <c r="Q45" s="53">
        <v>-7.0000000000000007E-2</v>
      </c>
      <c r="R45" s="53">
        <v>-7.0000000000000007E-2</v>
      </c>
    </row>
    <row r="46" spans="1:86" s="70" customFormat="1" x14ac:dyDescent="0.25">
      <c r="A46" s="1"/>
      <c r="B46" s="1"/>
      <c r="C46" s="1"/>
      <c r="D46" s="1"/>
      <c r="E46" s="1"/>
      <c r="F46" s="2"/>
      <c r="G46" s="1"/>
      <c r="H46" s="1"/>
      <c r="I46" s="17"/>
      <c r="J46" s="1"/>
      <c r="K46" s="1"/>
      <c r="L46" s="1"/>
      <c r="M46" s="1"/>
      <c r="N46" s="1"/>
      <c r="O46" s="2"/>
      <c r="P46" s="2"/>
      <c r="Q46" s="2"/>
      <c r="R46" s="2"/>
    </row>
    <row r="47" spans="1:86" s="70" customFormat="1" x14ac:dyDescent="0.25">
      <c r="A47" s="1"/>
      <c r="B47" s="1" t="s">
        <v>27</v>
      </c>
      <c r="C47" s="1">
        <v>-38146</v>
      </c>
      <c r="D47" s="1">
        <v>-147959</v>
      </c>
      <c r="E47" s="1">
        <v>188979</v>
      </c>
      <c r="F47" s="2">
        <v>-505932</v>
      </c>
      <c r="G47" s="1">
        <v>-787473</v>
      </c>
      <c r="H47" s="1">
        <v>236359</v>
      </c>
      <c r="I47" s="17">
        <f t="shared" ref="I47:R47" si="28">I48*I11</f>
        <v>-91900</v>
      </c>
      <c r="J47" s="1">
        <f t="shared" si="28"/>
        <v>-96495</v>
      </c>
      <c r="K47" s="1">
        <f t="shared" si="28"/>
        <v>-101319.75</v>
      </c>
      <c r="L47" s="1">
        <f t="shared" si="28"/>
        <v>-106385.7375</v>
      </c>
      <c r="M47" s="1">
        <f t="shared" si="28"/>
        <v>-111705.02437500001</v>
      </c>
      <c r="N47" s="1">
        <f t="shared" si="28"/>
        <v>-117290.27559375002</v>
      </c>
      <c r="O47" s="1">
        <f t="shared" si="28"/>
        <v>-123154.78937343752</v>
      </c>
      <c r="P47" s="1">
        <f t="shared" si="28"/>
        <v>-129312.5288421094</v>
      </c>
      <c r="Q47" s="1">
        <f t="shared" si="28"/>
        <v>-135778.15528421488</v>
      </c>
      <c r="R47" s="1">
        <f t="shared" si="28"/>
        <v>-142567.06304842563</v>
      </c>
    </row>
    <row r="48" spans="1:86" s="70" customFormat="1" x14ac:dyDescent="0.25">
      <c r="A48" s="1"/>
      <c r="B48" s="15" t="s">
        <v>21</v>
      </c>
      <c r="C48" s="16">
        <f t="shared" ref="C48:H48" si="29">C47/C11</f>
        <v>-1.1251203031624947E-2</v>
      </c>
      <c r="D48" s="16">
        <f t="shared" si="29"/>
        <v>-3.9513560111437751E-2</v>
      </c>
      <c r="E48" s="16">
        <f t="shared" si="29"/>
        <v>5.9045180206231181E-2</v>
      </c>
      <c r="F48" s="16">
        <f t="shared" si="29"/>
        <v>-0.14552933342346241</v>
      </c>
      <c r="G48" s="16">
        <f t="shared" si="29"/>
        <v>-0.14922262296318348</v>
      </c>
      <c r="H48" s="16">
        <f t="shared" si="29"/>
        <v>3.1646986520918886E-2</v>
      </c>
      <c r="I48" s="67">
        <v>-0.01</v>
      </c>
      <c r="J48" s="62">
        <v>-0.01</v>
      </c>
      <c r="K48" s="62">
        <v>-0.01</v>
      </c>
      <c r="L48" s="62">
        <v>-0.01</v>
      </c>
      <c r="M48" s="62">
        <v>-0.01</v>
      </c>
      <c r="N48" s="62">
        <v>-0.01</v>
      </c>
      <c r="O48" s="62">
        <v>-0.01</v>
      </c>
      <c r="P48" s="62">
        <v>-0.01</v>
      </c>
      <c r="Q48" s="62">
        <v>-0.01</v>
      </c>
      <c r="R48" s="62">
        <v>-0.01</v>
      </c>
    </row>
    <row r="49" spans="1:86" s="70" customFormat="1" x14ac:dyDescent="0.25">
      <c r="A49" s="1"/>
      <c r="B49" s="1"/>
      <c r="C49" s="1"/>
      <c r="D49" s="1"/>
      <c r="E49" s="1"/>
      <c r="F49" s="1"/>
      <c r="G49" s="1"/>
      <c r="H49" s="1"/>
      <c r="I49" s="14"/>
      <c r="J49" s="63"/>
      <c r="K49" s="63"/>
      <c r="L49" s="63"/>
      <c r="M49" s="63"/>
      <c r="N49" s="63"/>
      <c r="O49" s="63"/>
      <c r="P49" s="63"/>
      <c r="Q49" s="63"/>
      <c r="R49" s="64"/>
    </row>
    <row r="50" spans="1:86" s="70" customFormat="1" x14ac:dyDescent="0.25">
      <c r="A50" s="1"/>
      <c r="B50" s="10" t="s">
        <v>28</v>
      </c>
      <c r="C50" s="13">
        <f>C34-C37</f>
        <v>237805</v>
      </c>
      <c r="D50" s="13">
        <f t="shared" ref="D50:R50" si="30">D34-D37</f>
        <v>308596</v>
      </c>
      <c r="E50" s="13">
        <f t="shared" si="30"/>
        <v>245761</v>
      </c>
      <c r="F50" s="13">
        <f t="shared" si="30"/>
        <v>207668</v>
      </c>
      <c r="G50" s="13">
        <f t="shared" si="30"/>
        <v>161793</v>
      </c>
      <c r="H50" s="13">
        <f>H34-H37</f>
        <v>298148</v>
      </c>
      <c r="I50" s="51">
        <f>I34-I37</f>
        <v>414469</v>
      </c>
      <c r="J50" s="65">
        <f t="shared" si="30"/>
        <v>395629.5</v>
      </c>
      <c r="K50" s="65">
        <f t="shared" si="30"/>
        <v>415410.97499999998</v>
      </c>
      <c r="L50" s="65">
        <f t="shared" si="30"/>
        <v>436181.52374999999</v>
      </c>
      <c r="M50" s="65">
        <f t="shared" si="30"/>
        <v>457990.59993750008</v>
      </c>
      <c r="N50" s="65">
        <f t="shared" si="30"/>
        <v>480890.12993437506</v>
      </c>
      <c r="O50" s="65">
        <f t="shared" si="30"/>
        <v>504934.63643109385</v>
      </c>
      <c r="P50" s="65">
        <f t="shared" si="30"/>
        <v>530181.36825264862</v>
      </c>
      <c r="Q50" s="65">
        <f t="shared" si="30"/>
        <v>556690.43666528095</v>
      </c>
      <c r="R50" s="65">
        <f t="shared" si="30"/>
        <v>584524.95849854511</v>
      </c>
    </row>
    <row r="51" spans="1:86" s="70" customFormat="1" x14ac:dyDescent="0.25">
      <c r="A51" s="1"/>
      <c r="B51" s="10" t="s">
        <v>29</v>
      </c>
      <c r="C51" s="13">
        <f t="shared" ref="C51:R51" si="31">C32-C37</f>
        <v>102983</v>
      </c>
      <c r="D51" s="13">
        <f t="shared" si="31"/>
        <v>242431</v>
      </c>
      <c r="E51" s="13">
        <f t="shared" si="31"/>
        <v>166555</v>
      </c>
      <c r="F51" s="13">
        <f t="shared" si="31"/>
        <v>121722</v>
      </c>
      <c r="G51" s="13">
        <f t="shared" si="31"/>
        <v>109876</v>
      </c>
      <c r="H51" s="13">
        <f t="shared" si="31"/>
        <v>298555</v>
      </c>
      <c r="I51" s="51">
        <f>I32-I37</f>
        <v>323488</v>
      </c>
      <c r="J51" s="65">
        <f t="shared" si="31"/>
        <v>308784</v>
      </c>
      <c r="K51" s="65">
        <f>K32-K37</f>
        <v>324223.19999999995</v>
      </c>
      <c r="L51" s="65">
        <f t="shared" si="31"/>
        <v>340434.36</v>
      </c>
      <c r="M51" s="65">
        <f t="shared" si="31"/>
        <v>357456.07799999998</v>
      </c>
      <c r="N51" s="65">
        <f t="shared" si="31"/>
        <v>375328.88190000004</v>
      </c>
      <c r="O51" s="65">
        <f t="shared" si="31"/>
        <v>394095.32599500002</v>
      </c>
      <c r="P51" s="65">
        <f t="shared" si="31"/>
        <v>413800.09229475015</v>
      </c>
      <c r="Q51" s="65">
        <f t="shared" si="31"/>
        <v>434490.09690948756</v>
      </c>
      <c r="R51" s="65">
        <f t="shared" si="31"/>
        <v>456214.601754962</v>
      </c>
      <c r="S51" s="71">
        <f>R51*(1+$E$6)</f>
        <v>442528.16370231315</v>
      </c>
      <c r="T51" s="71">
        <f t="shared" ref="T51:CE51" si="32">S51*(1+$E$6)</f>
        <v>429252.31879124371</v>
      </c>
      <c r="U51" s="71">
        <f t="shared" si="32"/>
        <v>416374.7492275064</v>
      </c>
      <c r="V51" s="71">
        <f t="shared" si="32"/>
        <v>403883.5067506812</v>
      </c>
      <c r="W51" s="71">
        <f t="shared" si="32"/>
        <v>391767.00154816074</v>
      </c>
      <c r="X51" s="71">
        <f t="shared" si="32"/>
        <v>380013.99150171591</v>
      </c>
      <c r="Y51" s="71">
        <f t="shared" si="32"/>
        <v>368613.57175666443</v>
      </c>
      <c r="Z51" s="71">
        <f t="shared" si="32"/>
        <v>357555.16460396448</v>
      </c>
      <c r="AA51" s="71">
        <f t="shared" si="32"/>
        <v>346828.50966584554</v>
      </c>
      <c r="AB51" s="71">
        <f t="shared" si="32"/>
        <v>336423.65437587019</v>
      </c>
      <c r="AC51" s="71">
        <f t="shared" si="32"/>
        <v>326330.94474459405</v>
      </c>
      <c r="AD51" s="71">
        <f t="shared" si="32"/>
        <v>316541.01640225621</v>
      </c>
      <c r="AE51" s="71">
        <f t="shared" si="32"/>
        <v>307044.78591018851</v>
      </c>
      <c r="AF51" s="71">
        <f t="shared" si="32"/>
        <v>297833.44233288284</v>
      </c>
      <c r="AG51" s="71">
        <f t="shared" si="32"/>
        <v>288898.43906289636</v>
      </c>
      <c r="AH51" s="71">
        <f t="shared" si="32"/>
        <v>280231.48589100945</v>
      </c>
      <c r="AI51" s="71">
        <f t="shared" si="32"/>
        <v>271824.54131427914</v>
      </c>
      <c r="AJ51" s="71">
        <f t="shared" si="32"/>
        <v>263669.80507485074</v>
      </c>
      <c r="AK51" s="71">
        <f t="shared" si="32"/>
        <v>255759.71092260521</v>
      </c>
      <c r="AL51" s="71">
        <f t="shared" si="32"/>
        <v>248086.91959492705</v>
      </c>
      <c r="AM51" s="71">
        <f t="shared" si="32"/>
        <v>240644.31200707922</v>
      </c>
      <c r="AN51" s="71">
        <f t="shared" si="32"/>
        <v>233424.98264686685</v>
      </c>
      <c r="AO51" s="71">
        <f t="shared" si="32"/>
        <v>226422.23316746083</v>
      </c>
      <c r="AP51" s="71">
        <f t="shared" si="32"/>
        <v>219629.56617243699</v>
      </c>
      <c r="AQ51" s="71">
        <f t="shared" si="32"/>
        <v>213040.67918726386</v>
      </c>
      <c r="AR51" s="71">
        <f t="shared" si="32"/>
        <v>206649.45881164595</v>
      </c>
      <c r="AS51" s="71">
        <f t="shared" si="32"/>
        <v>200449.97504729655</v>
      </c>
      <c r="AT51" s="71">
        <f t="shared" si="32"/>
        <v>194436.47579587766</v>
      </c>
      <c r="AU51" s="71">
        <f t="shared" si="32"/>
        <v>188603.38152200132</v>
      </c>
      <c r="AV51" s="71">
        <f t="shared" si="32"/>
        <v>182945.28007634127</v>
      </c>
      <c r="AW51" s="71">
        <f t="shared" si="32"/>
        <v>177456.92167405103</v>
      </c>
      <c r="AX51" s="71">
        <f t="shared" si="32"/>
        <v>172133.2140238295</v>
      </c>
      <c r="AY51" s="71">
        <f t="shared" si="32"/>
        <v>166969.21760311461</v>
      </c>
      <c r="AZ51" s="71">
        <f t="shared" si="32"/>
        <v>161960.14107502118</v>
      </c>
      <c r="BA51" s="71">
        <f t="shared" si="32"/>
        <v>157101.33684277054</v>
      </c>
      <c r="BB51" s="71">
        <f t="shared" si="32"/>
        <v>152388.29673748743</v>
      </c>
      <c r="BC51" s="71">
        <f t="shared" si="32"/>
        <v>147816.64783536279</v>
      </c>
      <c r="BD51" s="71">
        <f t="shared" si="32"/>
        <v>143382.1484003019</v>
      </c>
      <c r="BE51" s="71">
        <f t="shared" si="32"/>
        <v>139080.68394829283</v>
      </c>
      <c r="BF51" s="71">
        <f t="shared" si="32"/>
        <v>134908.26342984405</v>
      </c>
      <c r="BG51" s="71">
        <f t="shared" si="32"/>
        <v>130861.01552694873</v>
      </c>
      <c r="BH51" s="71">
        <f t="shared" si="32"/>
        <v>126935.18506114026</v>
      </c>
      <c r="BI51" s="71">
        <f t="shared" si="32"/>
        <v>123127.12950930605</v>
      </c>
      <c r="BJ51" s="71">
        <f t="shared" si="32"/>
        <v>119433.31562402686</v>
      </c>
      <c r="BK51" s="71">
        <f t="shared" si="32"/>
        <v>115850.31615530605</v>
      </c>
      <c r="BL51" s="71">
        <f t="shared" si="32"/>
        <v>112374.80667064687</v>
      </c>
      <c r="BM51" s="71">
        <f t="shared" si="32"/>
        <v>109003.56247052745</v>
      </c>
      <c r="BN51" s="71">
        <f t="shared" si="32"/>
        <v>105733.45559641163</v>
      </c>
      <c r="BO51" s="71">
        <f t="shared" si="32"/>
        <v>102561.45192851928</v>
      </c>
      <c r="BP51" s="71">
        <f t="shared" si="32"/>
        <v>99484.6083706637</v>
      </c>
      <c r="BQ51" s="71">
        <f t="shared" si="32"/>
        <v>96500.070119543787</v>
      </c>
      <c r="BR51" s="71">
        <f t="shared" si="32"/>
        <v>93605.068015957469</v>
      </c>
      <c r="BS51" s="71">
        <f t="shared" si="32"/>
        <v>90796.91597547874</v>
      </c>
      <c r="BT51" s="71">
        <f t="shared" si="32"/>
        <v>88073.008496214374</v>
      </c>
      <c r="BU51" s="71">
        <f t="shared" si="32"/>
        <v>85430.818241327943</v>
      </c>
      <c r="BV51" s="71">
        <f t="shared" si="32"/>
        <v>82867.893694088096</v>
      </c>
      <c r="BW51" s="71">
        <f t="shared" si="32"/>
        <v>80381.856883265456</v>
      </c>
      <c r="BX51" s="71">
        <f t="shared" si="32"/>
        <v>77970.401176767497</v>
      </c>
      <c r="BY51" s="71">
        <f t="shared" si="32"/>
        <v>75631.289141464469</v>
      </c>
      <c r="BZ51" s="71">
        <f t="shared" si="32"/>
        <v>73362.350467220531</v>
      </c>
      <c r="CA51" s="71">
        <f t="shared" si="32"/>
        <v>71161.479953203918</v>
      </c>
      <c r="CB51" s="71">
        <f t="shared" si="32"/>
        <v>69026.635554607798</v>
      </c>
      <c r="CC51" s="71">
        <f t="shared" si="32"/>
        <v>66955.836487969558</v>
      </c>
      <c r="CD51" s="71">
        <f t="shared" si="32"/>
        <v>64947.161393330469</v>
      </c>
      <c r="CE51" s="71">
        <f t="shared" si="32"/>
        <v>62998.746551530552</v>
      </c>
      <c r="CF51" s="71">
        <f t="shared" ref="CF51:CH51" si="33">CE51*(1+$E$6)</f>
        <v>61108.784154984634</v>
      </c>
      <c r="CG51" s="71">
        <f t="shared" si="33"/>
        <v>59275.520630335093</v>
      </c>
      <c r="CH51" s="71">
        <f t="shared" si="33"/>
        <v>57497.255011425041</v>
      </c>
    </row>
    <row r="52" spans="1:86" s="70" customFormat="1" x14ac:dyDescent="0.25">
      <c r="A52" s="1"/>
      <c r="B52" s="6"/>
      <c r="C52" s="13"/>
      <c r="D52" s="13"/>
      <c r="E52" s="13"/>
      <c r="F52" s="13"/>
      <c r="G52" s="13"/>
      <c r="H52" s="13"/>
      <c r="I52" s="14"/>
      <c r="J52" s="63"/>
      <c r="K52" s="63"/>
      <c r="L52" s="63"/>
      <c r="M52" s="63"/>
      <c r="N52" s="63"/>
      <c r="O52" s="63"/>
      <c r="P52" s="63"/>
      <c r="Q52" s="63"/>
      <c r="R52" s="64"/>
    </row>
    <row r="53" spans="1:86" s="70" customFormat="1" x14ac:dyDescent="0.25">
      <c r="A53" s="1"/>
      <c r="B53" s="10" t="s">
        <v>30</v>
      </c>
      <c r="C53" s="66">
        <f t="shared" ref="C53:G53" si="34">C50+C41+C44-C47</f>
        <v>98246</v>
      </c>
      <c r="D53" s="66">
        <f t="shared" si="34"/>
        <v>269529</v>
      </c>
      <c r="E53" s="66">
        <f t="shared" si="34"/>
        <v>-74677</v>
      </c>
      <c r="F53" s="66">
        <f t="shared" si="34"/>
        <v>587937</v>
      </c>
      <c r="G53" s="66">
        <f t="shared" si="34"/>
        <v>803310</v>
      </c>
      <c r="H53" s="68">
        <f>H50+H41+H44-H47</f>
        <v>-330767</v>
      </c>
      <c r="I53" s="66">
        <f>I50+I41+I44-I47</f>
        <v>33627.897141352645</v>
      </c>
      <c r="J53" s="66">
        <f t="shared" ref="J53:R53" si="35">J50+J41+J44-J47</f>
        <v>202639.49999999988</v>
      </c>
      <c r="K53" s="66">
        <f t="shared" si="35"/>
        <v>314091.22499999986</v>
      </c>
      <c r="L53" s="66">
        <f t="shared" si="35"/>
        <v>329795.78624999983</v>
      </c>
      <c r="M53" s="66">
        <f t="shared" si="35"/>
        <v>346285.57556250016</v>
      </c>
      <c r="N53" s="66">
        <f t="shared" si="35"/>
        <v>363599.85434062494</v>
      </c>
      <c r="O53" s="66">
        <f t="shared" si="35"/>
        <v>381779.84705765639</v>
      </c>
      <c r="P53" s="66">
        <f t="shared" si="35"/>
        <v>400868.83941053913</v>
      </c>
      <c r="Q53" s="66">
        <f t="shared" si="35"/>
        <v>420912.28138106619</v>
      </c>
      <c r="R53" s="66">
        <f t="shared" si="35"/>
        <v>441957.89545011951</v>
      </c>
    </row>
    <row r="54" spans="1:86" s="70" customFormat="1" x14ac:dyDescent="0.25">
      <c r="A54" s="1"/>
      <c r="B54" s="33" t="s">
        <v>31</v>
      </c>
      <c r="C54" s="1"/>
      <c r="D54" s="1"/>
      <c r="E54" s="1"/>
      <c r="F54" s="1"/>
      <c r="G54" s="1"/>
      <c r="H54" s="1"/>
      <c r="I54" s="21">
        <f t="shared" ref="I54:R54" si="36">I53/((1+$E$5)^I9)</f>
        <v>30602.536739255127</v>
      </c>
      <c r="J54" s="22">
        <f t="shared" si="36"/>
        <v>167818.38620338243</v>
      </c>
      <c r="K54" s="22">
        <f t="shared" si="36"/>
        <v>236716.73185427909</v>
      </c>
      <c r="L54" s="22">
        <f t="shared" si="36"/>
        <v>226191.33975468593</v>
      </c>
      <c r="M54" s="22">
        <f t="shared" si="36"/>
        <v>216133.94954909675</v>
      </c>
      <c r="N54" s="22">
        <f t="shared" si="36"/>
        <v>206523.7519630708</v>
      </c>
      <c r="O54" s="22">
        <f t="shared" si="36"/>
        <v>197340.86298744677</v>
      </c>
      <c r="P54" s="22">
        <f t="shared" si="36"/>
        <v>188566.28273726988</v>
      </c>
      <c r="Q54" s="22">
        <f t="shared" si="36"/>
        <v>180181.85614002254</v>
      </c>
      <c r="R54" s="22">
        <f t="shared" si="36"/>
        <v>172170.23537181388</v>
      </c>
    </row>
    <row r="55" spans="1:86" s="70" customFormat="1" x14ac:dyDescent="0.25">
      <c r="A55" s="1"/>
      <c r="B55" s="34"/>
      <c r="C55" s="34"/>
      <c r="D55" s="34"/>
      <c r="E55" s="34"/>
      <c r="F55" s="34"/>
      <c r="G55" s="34"/>
      <c r="H55" s="34"/>
      <c r="I55" s="35"/>
      <c r="J55" s="34"/>
      <c r="K55" s="34"/>
      <c r="L55" s="34"/>
      <c r="M55" s="34"/>
      <c r="N55" s="34"/>
      <c r="O55" s="34"/>
      <c r="P55" s="34"/>
      <c r="Q55" s="34"/>
      <c r="R55" s="34"/>
    </row>
    <row r="56" spans="1:86" s="70" customFormat="1" x14ac:dyDescent="0.25">
      <c r="A56" s="1"/>
      <c r="B56" s="1" t="s">
        <v>32</v>
      </c>
      <c r="C56" s="36">
        <f>(R53*(1+$E$6))/($E$5-$E$6)</f>
        <v>3326865.2193364226</v>
      </c>
      <c r="D56" s="1"/>
      <c r="E56" s="1" t="s">
        <v>33</v>
      </c>
      <c r="F56" s="22">
        <f>NPV($E$5,I51:CH51)</f>
        <v>3563866.8468205635</v>
      </c>
      <c r="G56" s="1"/>
      <c r="H56" s="1"/>
      <c r="I56" s="17"/>
      <c r="J56" s="1"/>
      <c r="K56" s="1"/>
      <c r="L56" s="1"/>
      <c r="M56" s="1"/>
      <c r="N56" s="1"/>
      <c r="O56" s="1"/>
      <c r="P56" s="1"/>
      <c r="Q56" s="1"/>
      <c r="R56" s="2"/>
    </row>
    <row r="57" spans="1:86" s="70" customFormat="1" x14ac:dyDescent="0.25">
      <c r="A57" s="1"/>
      <c r="B57" s="3" t="s">
        <v>34</v>
      </c>
      <c r="C57" s="37">
        <f>C56/((1+$E$5)^$R$9)</f>
        <v>1296022.0277999295</v>
      </c>
      <c r="D57" s="19"/>
      <c r="E57" s="3"/>
      <c r="F57" s="3"/>
      <c r="G57" s="3"/>
      <c r="H57" s="38"/>
      <c r="I57" s="18"/>
      <c r="J57" s="19"/>
      <c r="K57" s="19"/>
      <c r="L57" s="19"/>
      <c r="M57" s="19"/>
      <c r="N57" s="19"/>
      <c r="O57" s="19"/>
      <c r="P57" s="19"/>
      <c r="Q57" s="19"/>
      <c r="R57" s="39"/>
    </row>
    <row r="58" spans="1:86" s="70" customFormat="1" x14ac:dyDescent="0.25">
      <c r="A58" s="1"/>
      <c r="B58" s="6" t="s">
        <v>35</v>
      </c>
      <c r="C58" s="6"/>
      <c r="D58" s="1"/>
      <c r="E58" s="6"/>
      <c r="F58" s="6"/>
      <c r="G58" s="40" t="s">
        <v>36</v>
      </c>
      <c r="H58" s="40" t="s">
        <v>33</v>
      </c>
      <c r="I58" s="17"/>
      <c r="J58" s="1"/>
      <c r="K58" s="1"/>
      <c r="L58" s="1"/>
      <c r="M58" s="1"/>
      <c r="N58" s="1"/>
      <c r="O58" s="1"/>
      <c r="P58" s="1"/>
      <c r="Q58" s="1"/>
      <c r="R58" s="2"/>
    </row>
    <row r="59" spans="1:86" s="70" customFormat="1" x14ac:dyDescent="0.25">
      <c r="A59" s="1"/>
      <c r="B59" s="41" t="s">
        <v>37</v>
      </c>
      <c r="C59" s="1"/>
      <c r="D59" s="54">
        <f>981434+978116</f>
        <v>1959550</v>
      </c>
      <c r="E59" s="1"/>
      <c r="F59" s="1"/>
      <c r="G59" s="36">
        <f>C57+SUM(I54:R54)</f>
        <v>3118267.9611002523</v>
      </c>
      <c r="H59" s="22">
        <f>F56</f>
        <v>3563866.8468205635</v>
      </c>
      <c r="I59" s="17"/>
      <c r="J59" s="1"/>
      <c r="K59" s="1"/>
      <c r="L59" s="1"/>
      <c r="M59" s="1"/>
      <c r="N59" s="1"/>
      <c r="O59" s="1"/>
      <c r="P59" s="1"/>
      <c r="Q59" s="1"/>
      <c r="R59" s="2"/>
    </row>
    <row r="60" spans="1:86" s="70" customFormat="1" x14ac:dyDescent="0.25">
      <c r="A60" s="1"/>
      <c r="B60" s="42" t="s">
        <v>38</v>
      </c>
      <c r="C60" s="3"/>
      <c r="D60" s="69">
        <v>1443816</v>
      </c>
      <c r="E60" s="3"/>
      <c r="F60" s="3"/>
      <c r="G60" s="3"/>
      <c r="H60" s="3"/>
      <c r="I60" s="17"/>
      <c r="J60" s="1"/>
      <c r="K60" s="1"/>
      <c r="L60" s="1"/>
      <c r="M60" s="1"/>
      <c r="N60" s="1"/>
      <c r="O60" s="1"/>
      <c r="P60" s="1"/>
      <c r="Q60" s="1"/>
      <c r="R60" s="2"/>
    </row>
    <row r="61" spans="1:86" s="70" customFormat="1" x14ac:dyDescent="0.25">
      <c r="A61" s="1"/>
      <c r="B61" s="6" t="s">
        <v>39</v>
      </c>
      <c r="C61" s="6"/>
      <c r="D61" s="6"/>
      <c r="E61" s="6"/>
      <c r="F61" s="6"/>
      <c r="G61" s="43">
        <f>G59+D59-D60</f>
        <v>3634001.9611002523</v>
      </c>
      <c r="H61" s="44">
        <f>H59+D59-D60</f>
        <v>4079600.8468205631</v>
      </c>
      <c r="I61" s="17"/>
      <c r="J61" s="1"/>
      <c r="K61" s="1"/>
      <c r="L61" s="1"/>
      <c r="M61" s="1"/>
      <c r="N61" s="1"/>
      <c r="O61" s="1"/>
      <c r="P61" s="1"/>
      <c r="Q61" s="1"/>
      <c r="R61" s="2"/>
    </row>
    <row r="62" spans="1:86" s="70" customFormat="1" x14ac:dyDescent="0.25">
      <c r="A62" s="1"/>
      <c r="B62" s="3" t="s">
        <v>40</v>
      </c>
      <c r="C62" s="3"/>
      <c r="D62" s="54">
        <f>64506055/1000</f>
        <v>64506.055</v>
      </c>
      <c r="E62" s="3"/>
      <c r="F62" s="3"/>
      <c r="G62" s="3"/>
      <c r="H62" s="45"/>
      <c r="I62" s="17"/>
      <c r="J62" s="1"/>
      <c r="K62" s="1"/>
      <c r="L62" s="1"/>
      <c r="M62" s="1"/>
      <c r="N62" s="1"/>
      <c r="O62" s="1"/>
      <c r="P62" s="1"/>
      <c r="Q62" s="1"/>
      <c r="R62" s="2"/>
    </row>
    <row r="63" spans="1:86" s="70" customFormat="1" x14ac:dyDescent="0.25">
      <c r="A63" s="1"/>
      <c r="B63" s="20" t="s">
        <v>41</v>
      </c>
      <c r="C63" s="20"/>
      <c r="D63" s="84">
        <f>D62*$J$5</f>
        <v>2326733.4038499999</v>
      </c>
      <c r="E63" s="20"/>
      <c r="F63" s="20"/>
      <c r="G63" s="20"/>
      <c r="H63" s="46"/>
      <c r="I63" s="1"/>
      <c r="J63" s="1"/>
      <c r="K63" s="1"/>
      <c r="L63" s="1"/>
      <c r="M63" s="1"/>
      <c r="N63" s="1"/>
      <c r="O63" s="1"/>
      <c r="P63" s="1"/>
      <c r="Q63" s="1"/>
      <c r="R63" s="2"/>
    </row>
    <row r="64" spans="1:86" s="70" customFormat="1" x14ac:dyDescent="0.25">
      <c r="A64" s="1"/>
      <c r="B64" s="6" t="s">
        <v>42</v>
      </c>
      <c r="C64" s="2"/>
      <c r="D64" s="6" t="s">
        <v>43</v>
      </c>
      <c r="E64" s="6">
        <f>(G64+H64)/2</f>
        <v>59.789757782589675</v>
      </c>
      <c r="F64" s="6"/>
      <c r="G64" s="47">
        <f>G61/D62</f>
        <v>56.335827095615322</v>
      </c>
      <c r="H64" s="48">
        <f>H61/D62</f>
        <v>63.243688469564027</v>
      </c>
      <c r="I64" s="17"/>
      <c r="J64" s="1"/>
      <c r="K64" s="1"/>
      <c r="L64" s="1"/>
      <c r="M64" s="1"/>
      <c r="N64" s="1"/>
      <c r="O64" s="1"/>
      <c r="P64" s="1"/>
      <c r="Q64" s="1"/>
      <c r="R64" s="2"/>
    </row>
    <row r="65" spans="1:18" s="70" customFormat="1" x14ac:dyDescent="0.25">
      <c r="A65" s="2"/>
      <c r="B65" s="49"/>
      <c r="C65" s="49"/>
      <c r="D65" s="49"/>
      <c r="E65" s="49"/>
      <c r="F65" s="49"/>
      <c r="G65" s="49"/>
      <c r="H65" s="49"/>
      <c r="I65" s="30"/>
      <c r="J65" s="2"/>
      <c r="K65" s="2"/>
      <c r="L65" s="2"/>
      <c r="M65" s="2"/>
      <c r="N65" s="2"/>
      <c r="O65" s="2"/>
      <c r="P65" s="2"/>
      <c r="Q65" s="2"/>
      <c r="R65" s="2"/>
    </row>
    <row r="66" spans="1:18" s="70" customFormat="1" x14ac:dyDescent="0.25">
      <c r="A66" s="1"/>
      <c r="B66" s="6"/>
      <c r="C66" s="6"/>
      <c r="D66" s="6"/>
      <c r="E66" s="2"/>
      <c r="F66" s="6"/>
      <c r="G66" s="47"/>
      <c r="H66" s="48"/>
      <c r="I66" s="63"/>
      <c r="J66" s="1"/>
      <c r="K66" s="1"/>
      <c r="L66" s="1"/>
      <c r="M66" s="1"/>
      <c r="N66" s="1"/>
      <c r="O66" s="1"/>
      <c r="P66" s="1"/>
      <c r="Q66" s="1"/>
      <c r="R6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38F9-BA63-4D18-9F48-1AB06BDF0DAF}">
  <dimension ref="A1:L15"/>
  <sheetViews>
    <sheetView workbookViewId="0">
      <selection activeCell="M15" sqref="M15"/>
    </sheetView>
  </sheetViews>
  <sheetFormatPr defaultRowHeight="15" x14ac:dyDescent="0.25"/>
  <cols>
    <col min="3" max="3" width="14.5703125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3.25" x14ac:dyDescent="0.35">
      <c r="A2" s="2"/>
      <c r="B2" s="72" t="s">
        <v>1</v>
      </c>
      <c r="C2" s="2"/>
      <c r="D2" s="2"/>
      <c r="E2" s="2"/>
      <c r="F2" s="2"/>
      <c r="G2" s="2"/>
      <c r="H2" s="2"/>
      <c r="I2" s="2"/>
      <c r="J2" s="2"/>
      <c r="K2" s="2"/>
      <c r="L2" s="49"/>
    </row>
    <row r="3" spans="1:12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2"/>
    </row>
    <row r="4" spans="1:12" x14ac:dyDescent="0.25">
      <c r="A4" s="74" t="s">
        <v>48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 t="s">
        <v>49</v>
      </c>
      <c r="C6" s="2"/>
      <c r="D6" s="75">
        <f>Sheet1!I38</f>
        <v>0.18</v>
      </c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 t="s">
        <v>50</v>
      </c>
      <c r="C7" s="2"/>
      <c r="D7" s="75">
        <v>5.0999999999999997E-2</v>
      </c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 t="s">
        <v>51</v>
      </c>
      <c r="C8" s="2"/>
      <c r="D8" s="76">
        <v>1.46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 t="s">
        <v>52</v>
      </c>
      <c r="C9" s="2"/>
      <c r="D9" s="75">
        <v>4.4999999999999998E-2</v>
      </c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 t="s">
        <v>39</v>
      </c>
      <c r="B12" s="2"/>
      <c r="C12" s="31">
        <f>Sheet1!D63</f>
        <v>2326733.4038499999</v>
      </c>
      <c r="D12" s="2"/>
      <c r="E12" s="2" t="s">
        <v>38</v>
      </c>
      <c r="F12" s="2"/>
      <c r="G12" s="31">
        <f>Sheet1!D60</f>
        <v>1443816</v>
      </c>
      <c r="H12" s="2"/>
      <c r="I12" s="2" t="s">
        <v>53</v>
      </c>
      <c r="J12" s="2"/>
      <c r="K12" s="31">
        <f>G12+C12</f>
        <v>3770549.4038499999</v>
      </c>
      <c r="L12" s="2"/>
    </row>
    <row r="13" spans="1:12" x14ac:dyDescent="0.25">
      <c r="A13" s="2" t="s">
        <v>54</v>
      </c>
      <c r="B13" s="2"/>
      <c r="C13" s="77">
        <f>C12/K12</f>
        <v>0.61708073668899266</v>
      </c>
      <c r="D13" s="2"/>
      <c r="E13" s="2" t="s">
        <v>55</v>
      </c>
      <c r="F13" s="2"/>
      <c r="G13" s="78">
        <f>G12/K12</f>
        <v>0.3829192633110074</v>
      </c>
      <c r="H13" s="2"/>
      <c r="I13" s="2"/>
      <c r="J13" s="2"/>
      <c r="K13" s="2"/>
      <c r="L13" s="2"/>
    </row>
    <row r="14" spans="1:12" x14ac:dyDescent="0.25">
      <c r="A14" s="2" t="s">
        <v>56</v>
      </c>
      <c r="B14" s="2"/>
      <c r="C14" s="79">
        <f>D7+D8*(D9)</f>
        <v>0.1167</v>
      </c>
      <c r="D14" s="2"/>
      <c r="E14" s="2" t="s">
        <v>57</v>
      </c>
      <c r="F14" s="2"/>
      <c r="G14" s="80">
        <v>8.5500000000000007E-2</v>
      </c>
      <c r="H14" s="2"/>
      <c r="I14" s="81" t="s">
        <v>1</v>
      </c>
      <c r="J14" s="82"/>
      <c r="K14" s="83">
        <f>C13*C14+G14*G13*(1-D6)</f>
        <v>9.8859791522340174E-2</v>
      </c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2023-05-02T20:26:00Z</dcterms:created>
  <dcterms:modified xsi:type="dcterms:W3CDTF">2023-05-03T08:29:23Z</dcterms:modified>
</cp:coreProperties>
</file>