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62AB9C4A-DE0A-454D-B165-F68BB5910687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PAYC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1" l="1"/>
  <c r="L67" i="1"/>
  <c r="L70" i="1"/>
  <c r="L69" i="1"/>
  <c r="E5" i="1"/>
  <c r="J55" i="1"/>
  <c r="K55" i="1" s="1"/>
  <c r="L55" i="1" s="1"/>
  <c r="M55" i="1" s="1"/>
  <c r="N55" i="1" s="1"/>
  <c r="O55" i="1" s="1"/>
  <c r="P55" i="1" s="1"/>
  <c r="Q55" i="1" s="1"/>
  <c r="R55" i="1" s="1"/>
  <c r="D67" i="1"/>
  <c r="G12" i="2" s="1"/>
  <c r="D69" i="1"/>
  <c r="D70" i="1" s="1"/>
  <c r="C12" i="2" s="1"/>
  <c r="I48" i="1"/>
  <c r="J27" i="1"/>
  <c r="I12" i="1"/>
  <c r="I51" i="1" s="1"/>
  <c r="H32" i="1"/>
  <c r="C32" i="1"/>
  <c r="D32" i="1"/>
  <c r="E32" i="1"/>
  <c r="F32" i="1"/>
  <c r="G32" i="1"/>
  <c r="H33" i="1"/>
  <c r="J12" i="1" l="1"/>
  <c r="D30" i="1"/>
  <c r="E30" i="1"/>
  <c r="F30" i="1"/>
  <c r="G30" i="1"/>
  <c r="H30" i="1"/>
  <c r="C30" i="1"/>
  <c r="E27" i="1"/>
  <c r="G27" i="1"/>
  <c r="C27" i="1"/>
  <c r="D24" i="1"/>
  <c r="E24" i="1"/>
  <c r="F24" i="1"/>
  <c r="G24" i="1"/>
  <c r="H24" i="1"/>
  <c r="C24" i="1"/>
  <c r="D21" i="1"/>
  <c r="E21" i="1"/>
  <c r="F21" i="1"/>
  <c r="G21" i="1"/>
  <c r="H21" i="1"/>
  <c r="C21" i="1"/>
  <c r="C14" i="2"/>
  <c r="F52" i="1"/>
  <c r="G52" i="1"/>
  <c r="H52" i="1"/>
  <c r="E52" i="1"/>
  <c r="D52" i="1"/>
  <c r="C52" i="1"/>
  <c r="D49" i="1"/>
  <c r="C49" i="1"/>
  <c r="F49" i="1"/>
  <c r="H49" i="1"/>
  <c r="F33" i="1"/>
  <c r="D33" i="1"/>
  <c r="D27" i="1"/>
  <c r="G55" i="1"/>
  <c r="H55" i="1"/>
  <c r="G49" i="1"/>
  <c r="F27" i="1"/>
  <c r="H27" i="1"/>
  <c r="G17" i="1"/>
  <c r="G35" i="1" s="1"/>
  <c r="G36" i="1" s="1"/>
  <c r="G37" i="1" s="1"/>
  <c r="F17" i="1"/>
  <c r="H17" i="1"/>
  <c r="H35" i="1" s="1"/>
  <c r="H36" i="1" s="1"/>
  <c r="H37" i="1" s="1"/>
  <c r="E55" i="1"/>
  <c r="D55" i="1"/>
  <c r="C55" i="1"/>
  <c r="E49" i="1"/>
  <c r="D47" i="1"/>
  <c r="E47" i="1" s="1"/>
  <c r="E17" i="1"/>
  <c r="E35" i="1" s="1"/>
  <c r="D17" i="1"/>
  <c r="D35" i="1" s="1"/>
  <c r="D36" i="1" s="1"/>
  <c r="D37" i="1" s="1"/>
  <c r="C17" i="1"/>
  <c r="C35" i="1" s="1"/>
  <c r="C41" i="1" s="1"/>
  <c r="H13" i="1"/>
  <c r="G13" i="1"/>
  <c r="F13" i="1"/>
  <c r="E13" i="1"/>
  <c r="D13" i="1"/>
  <c r="J10" i="1"/>
  <c r="K10" i="1" s="1"/>
  <c r="L10" i="1" s="1"/>
  <c r="M10" i="1" s="1"/>
  <c r="N10" i="1" s="1"/>
  <c r="O10" i="1" s="1"/>
  <c r="P10" i="1" s="1"/>
  <c r="Q10" i="1" s="1"/>
  <c r="R10" i="1" s="1"/>
  <c r="J51" i="1" l="1"/>
  <c r="J48" i="1"/>
  <c r="K12" i="1"/>
  <c r="F58" i="1"/>
  <c r="F35" i="1"/>
  <c r="H58" i="1"/>
  <c r="E18" i="1"/>
  <c r="G18" i="1"/>
  <c r="I29" i="1"/>
  <c r="I20" i="1"/>
  <c r="I23" i="1"/>
  <c r="I26" i="1"/>
  <c r="C18" i="1"/>
  <c r="I54" i="1"/>
  <c r="F55" i="1"/>
  <c r="K12" i="2"/>
  <c r="I17" i="1"/>
  <c r="D18" i="1"/>
  <c r="H18" i="1"/>
  <c r="F18" i="1"/>
  <c r="C33" i="1"/>
  <c r="E33" i="1"/>
  <c r="G33" i="1"/>
  <c r="L12" i="1" l="1"/>
  <c r="K48" i="1"/>
  <c r="K51" i="1"/>
  <c r="F41" i="1"/>
  <c r="F57" i="1" s="1"/>
  <c r="F36" i="1"/>
  <c r="F37" i="1" s="1"/>
  <c r="D58" i="1"/>
  <c r="C58" i="1"/>
  <c r="C36" i="1"/>
  <c r="C37" i="1" s="1"/>
  <c r="I32" i="1"/>
  <c r="I33" i="1" s="1"/>
  <c r="I35" i="1"/>
  <c r="G58" i="1"/>
  <c r="F45" i="1"/>
  <c r="D41" i="1"/>
  <c r="D57" i="1" s="1"/>
  <c r="K29" i="1"/>
  <c r="J29" i="1"/>
  <c r="J26" i="1"/>
  <c r="J23" i="1"/>
  <c r="J20" i="1"/>
  <c r="H41" i="1"/>
  <c r="H57" i="1" s="1"/>
  <c r="H60" i="1" s="1"/>
  <c r="I15" i="1"/>
  <c r="C13" i="2"/>
  <c r="G13" i="2"/>
  <c r="G41" i="1"/>
  <c r="G57" i="1" s="1"/>
  <c r="E41" i="1"/>
  <c r="J54" i="1"/>
  <c r="J17" i="1"/>
  <c r="M12" i="1" l="1"/>
  <c r="L51" i="1"/>
  <c r="L48" i="1"/>
  <c r="I41" i="1"/>
  <c r="E45" i="1"/>
  <c r="E57" i="1"/>
  <c r="E60" i="1" s="1"/>
  <c r="C45" i="1"/>
  <c r="C57" i="1"/>
  <c r="C60" i="1" s="1"/>
  <c r="E58" i="1"/>
  <c r="E36" i="1"/>
  <c r="E37" i="1" s="1"/>
  <c r="H45" i="1"/>
  <c r="D60" i="1"/>
  <c r="D45" i="1"/>
  <c r="G60" i="1"/>
  <c r="G45" i="1"/>
  <c r="K26" i="1"/>
  <c r="J32" i="1"/>
  <c r="J33" i="1" s="1"/>
  <c r="J35" i="1"/>
  <c r="K20" i="1"/>
  <c r="K23" i="1"/>
  <c r="D42" i="1"/>
  <c r="F60" i="1"/>
  <c r="F42" i="1"/>
  <c r="H42" i="1"/>
  <c r="K14" i="2"/>
  <c r="J15" i="1"/>
  <c r="K17" i="1"/>
  <c r="G42" i="1"/>
  <c r="C42" i="1"/>
  <c r="E42" i="1"/>
  <c r="K54" i="1"/>
  <c r="E6" i="1" l="1"/>
  <c r="N12" i="1"/>
  <c r="M48" i="1"/>
  <c r="M51" i="1"/>
  <c r="I37" i="1"/>
  <c r="J41" i="1"/>
  <c r="I44" i="1"/>
  <c r="I42" i="1"/>
  <c r="I57" i="1"/>
  <c r="I60" i="1" s="1"/>
  <c r="I61" i="1" s="1"/>
  <c r="K15" i="1"/>
  <c r="K35" i="1"/>
  <c r="K32" i="1"/>
  <c r="K33" i="1" s="1"/>
  <c r="L26" i="1"/>
  <c r="L23" i="1"/>
  <c r="L20" i="1"/>
  <c r="L29" i="1"/>
  <c r="L54" i="1"/>
  <c r="L17" i="1"/>
  <c r="O12" i="1" l="1"/>
  <c r="N51" i="1"/>
  <c r="N48" i="1"/>
  <c r="J37" i="1"/>
  <c r="I36" i="1"/>
  <c r="I39" i="1" s="1"/>
  <c r="I58" i="1" s="1"/>
  <c r="K37" i="1"/>
  <c r="K41" i="1"/>
  <c r="J44" i="1"/>
  <c r="J42" i="1"/>
  <c r="L32" i="1"/>
  <c r="L35" i="1"/>
  <c r="L33" i="1"/>
  <c r="M29" i="1"/>
  <c r="M26" i="1"/>
  <c r="M23" i="1"/>
  <c r="M20" i="1"/>
  <c r="L15" i="1"/>
  <c r="M17" i="1"/>
  <c r="M54" i="1"/>
  <c r="P12" i="1" l="1"/>
  <c r="O48" i="1"/>
  <c r="O51" i="1"/>
  <c r="L37" i="1"/>
  <c r="K36" i="1"/>
  <c r="K39" i="1" s="1"/>
  <c r="M37" i="1"/>
  <c r="J36" i="1"/>
  <c r="J39" i="1" s="1"/>
  <c r="J58" i="1" s="1"/>
  <c r="J57" i="1"/>
  <c r="J60" i="1" s="1"/>
  <c r="J61" i="1" s="1"/>
  <c r="L41" i="1"/>
  <c r="K42" i="1"/>
  <c r="K44" i="1"/>
  <c r="M32" i="1"/>
  <c r="M33" i="1" s="1"/>
  <c r="M15" i="1"/>
  <c r="M35" i="1"/>
  <c r="N26" i="1"/>
  <c r="N23" i="1"/>
  <c r="N20" i="1"/>
  <c r="N29" i="1"/>
  <c r="N54" i="1"/>
  <c r="N17" i="1"/>
  <c r="N15" i="1" s="1"/>
  <c r="N37" i="1" l="1"/>
  <c r="M36" i="1"/>
  <c r="Q12" i="1"/>
  <c r="P51" i="1"/>
  <c r="P48" i="1"/>
  <c r="K58" i="1"/>
  <c r="L36" i="1"/>
  <c r="L39" i="1" s="1"/>
  <c r="L58" i="1" s="1"/>
  <c r="O37" i="1"/>
  <c r="O36" i="1" s="1"/>
  <c r="M39" i="1"/>
  <c r="M41" i="1"/>
  <c r="L42" i="1"/>
  <c r="L44" i="1"/>
  <c r="L57" i="1" s="1"/>
  <c r="L60" i="1" s="1"/>
  <c r="L61" i="1" s="1"/>
  <c r="K57" i="1"/>
  <c r="K60" i="1" s="1"/>
  <c r="K61" i="1" s="1"/>
  <c r="N32" i="1"/>
  <c r="N33" i="1" s="1"/>
  <c r="N35" i="1"/>
  <c r="O29" i="1"/>
  <c r="O26" i="1"/>
  <c r="O23" i="1"/>
  <c r="O20" i="1"/>
  <c r="O17" i="1"/>
  <c r="O54" i="1"/>
  <c r="R12" i="1" l="1"/>
  <c r="Q48" i="1"/>
  <c r="Q51" i="1"/>
  <c r="N36" i="1"/>
  <c r="P37" i="1"/>
  <c r="P36" i="1" s="1"/>
  <c r="N41" i="1"/>
  <c r="N39" i="1"/>
  <c r="M42" i="1"/>
  <c r="M44" i="1"/>
  <c r="M57" i="1" s="1"/>
  <c r="M60" i="1" s="1"/>
  <c r="M61" i="1" s="1"/>
  <c r="O32" i="1"/>
  <c r="O33" i="1" s="1"/>
  <c r="O15" i="1"/>
  <c r="O35" i="1"/>
  <c r="P26" i="1"/>
  <c r="P23" i="1"/>
  <c r="P20" i="1"/>
  <c r="P29" i="1"/>
  <c r="P17" i="1"/>
  <c r="P54" i="1"/>
  <c r="R51" i="1" l="1"/>
  <c r="R48" i="1"/>
  <c r="Q37" i="1"/>
  <c r="M58" i="1"/>
  <c r="O39" i="1"/>
  <c r="O41" i="1"/>
  <c r="N42" i="1"/>
  <c r="N44" i="1"/>
  <c r="N58" i="1" s="1"/>
  <c r="P35" i="1"/>
  <c r="P32" i="1"/>
  <c r="P33" i="1" s="1"/>
  <c r="Q29" i="1"/>
  <c r="Q26" i="1"/>
  <c r="Q23" i="1"/>
  <c r="Q20" i="1"/>
  <c r="P15" i="1"/>
  <c r="Q17" i="1"/>
  <c r="Q54" i="1"/>
  <c r="R37" i="1" l="1"/>
  <c r="R36" i="1" s="1"/>
  <c r="Q36" i="1"/>
  <c r="P41" i="1"/>
  <c r="P39" i="1"/>
  <c r="N57" i="1"/>
  <c r="N60" i="1" s="1"/>
  <c r="N61" i="1" s="1"/>
  <c r="O42" i="1"/>
  <c r="O44" i="1"/>
  <c r="O57" i="1" s="1"/>
  <c r="O60" i="1" s="1"/>
  <c r="O61" i="1" s="1"/>
  <c r="Q35" i="1"/>
  <c r="Q32" i="1"/>
  <c r="Q33" i="1" s="1"/>
  <c r="R26" i="1"/>
  <c r="R23" i="1"/>
  <c r="R20" i="1"/>
  <c r="R29" i="1"/>
  <c r="R17" i="1"/>
  <c r="R54" i="1"/>
  <c r="Q15" i="1"/>
  <c r="Q39" i="1" l="1"/>
  <c r="Q41" i="1"/>
  <c r="O58" i="1"/>
  <c r="P42" i="1"/>
  <c r="P44" i="1"/>
  <c r="P58" i="1" s="1"/>
  <c r="R32" i="1"/>
  <c r="R33" i="1" s="1"/>
  <c r="R15" i="1"/>
  <c r="R35" i="1"/>
  <c r="R41" i="1" l="1"/>
  <c r="R39" i="1"/>
  <c r="P57" i="1"/>
  <c r="P60" i="1" s="1"/>
  <c r="P61" i="1" s="1"/>
  <c r="Q42" i="1"/>
  <c r="Q44" i="1"/>
  <c r="Q58" i="1" s="1"/>
  <c r="Q57" i="1" l="1"/>
  <c r="Q60" i="1" s="1"/>
  <c r="Q61" i="1" s="1"/>
  <c r="R42" i="1"/>
  <c r="R44" i="1"/>
  <c r="R57" i="1" s="1"/>
  <c r="R60" i="1" s="1"/>
  <c r="R58" i="1" l="1"/>
  <c r="C63" i="1"/>
  <c r="C64" i="1" s="1"/>
  <c r="R61" i="1"/>
  <c r="G66" i="1" l="1"/>
  <c r="G68" i="1" s="1"/>
  <c r="G71" i="1" s="1"/>
  <c r="S58" i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F63" i="1" l="1"/>
  <c r="H66" i="1" s="1"/>
  <c r="H68" i="1" s="1"/>
  <c r="H71" i="1" l="1"/>
  <c r="D71" i="1" s="1"/>
  <c r="L65" i="1" s="1"/>
  <c r="J6" i="1" l="1"/>
  <c r="N5" i="1" s="1"/>
</calcChain>
</file>

<file path=xl/sharedStrings.xml><?xml version="1.0" encoding="utf-8"?>
<sst xmlns="http://schemas.openxmlformats.org/spreadsheetml/2006/main" count="87" uniqueCount="60">
  <si>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</si>
  <si>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</si>
  <si>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</si>
  <si>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</si>
  <si>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</si>
  <si>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</si>
  <si>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</si>
  <si>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</si>
  <si>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</si>
  <si>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</si>
  <si>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</si>
  <si>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</si>
  <si>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</si>
  <si>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</si>
  <si>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</si>
  <si>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</si>
  <si>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</si>
  <si>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</si>
  <si>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</si>
  <si>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</si>
  <si>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</si>
  <si>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</si>
  <si>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</si>
  <si>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</si>
  <si>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</si>
  <si>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</si>
  <si>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</si>
  <si>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</si>
  <si>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</si>
  <si>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</si>
  <si>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</si>
  <si>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</si>
  <si>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</si>
  <si>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</si>
  <si>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</si>
  <si>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</si>
  <si>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</si>
  <si>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</si>
  <si>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</si>
  <si>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</si>
  <si>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</si>
  <si>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</si>
  <si>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</si>
  <si>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</si>
  <si>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</si>
  <si>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</si>
  <si>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</si>
  <si>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</si>
  <si>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</si>
  <si>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</si>
  <si>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</si>
  <si>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</si>
  <si>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</si>
  <si>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</si>
  <si>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</si>
  <si>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</si>
  <si>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</t>
  </si>
  <si>
    <t>WACC opt</t>
  </si>
  <si>
    <t>WACC actual</t>
  </si>
  <si>
    <t>Paycom Software Inc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</si>
</sst>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9" fontId="3" fillId="2" borderId="0" xfId="1" applyFont="1" applyFill="1"/>
    <xf numFmtId="0" fontId="3" fillId="10" borderId="0" xfId="0" applyFont="1" applyFill="1" applyAlignment="1">
      <alignment horizontal="left"/>
    </xf>
    <xf numFmtId="0" fontId="3" fillId="10" borderId="0" xfId="0" applyFont="1" applyFill="1"/>
    <xf numFmtId="164" fontId="3" fillId="10" borderId="2" xfId="0" applyNumberFormat="1" applyFont="1" applyFill="1" applyBorder="1" applyAlignment="1">
      <alignment horizontal="center"/>
    </xf>
    <xf numFmtId="1" fontId="0" fillId="2" borderId="4" xfId="0" applyNumberFormat="1" applyFont="1" applyFill="1" applyBorder="1"/>
    <xf numFmtId="1" fontId="0" fillId="2" borderId="0" xfId="0" applyNumberFormat="1" applyFont="1" applyFill="1" applyBorder="1"/>
    <xf numFmtId="164" fontId="10" fillId="2" borderId="4" xfId="1" applyNumberFormat="1" applyFont="1" applyFill="1" applyBorder="1"/>
    <xf numFmtId="164" fontId="10" fillId="2" borderId="0" xfId="1" applyNumberFormat="1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3" fontId="0" fillId="2" borderId="4" xfId="0" applyNumberFormat="1" applyFont="1" applyFill="1" applyBorder="1"/>
    <xf numFmtId="3" fontId="0" fillId="2" borderId="0" xfId="0" applyNumberFormat="1" applyFont="1" applyFill="1" applyBorder="1"/>
    <xf numFmtId="9" fontId="0" fillId="2" borderId="4" xfId="1" applyFont="1" applyFill="1" applyBorder="1"/>
    <xf numFmtId="9" fontId="0" fillId="2" borderId="0" xfId="1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164" fontId="10" fillId="10" borderId="4" xfId="1" applyNumberFormat="1" applyFont="1" applyFill="1" applyBorder="1"/>
    <xf numFmtId="164" fontId="10" fillId="10" borderId="0" xfId="1" applyNumberFormat="1" applyFont="1" applyFill="1" applyBorder="1"/>
    <xf numFmtId="164" fontId="0" fillId="10" borderId="4" xfId="0" applyNumberFormat="1" applyFont="1" applyFill="1" applyBorder="1"/>
    <xf numFmtId="164" fontId="0" fillId="10" borderId="0" xfId="0" applyNumberFormat="1" applyFont="1" applyFill="1" applyBorder="1"/>
    <xf numFmtId="164" fontId="10" fillId="10" borderId="4" xfId="0" applyNumberFormat="1" applyFont="1" applyFill="1" applyBorder="1"/>
    <xf numFmtId="164" fontId="10" fillId="10" borderId="0" xfId="0" applyNumberFormat="1" applyFont="1" applyFill="1" applyBorder="1"/>
    <xf numFmtId="10" fontId="10" fillId="10" borderId="4" xfId="0" applyNumberFormat="1" applyFont="1" applyFill="1" applyBorder="1"/>
    <xf numFmtId="10" fontId="10" fillId="10" borderId="0" xfId="0" applyNumberFormat="1" applyFont="1" applyFill="1" applyBorder="1"/>
    <xf numFmtId="3" fontId="0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workbookViewId="0">
      <selection activeCell="E7" sqref="E7"/>
    </sheetView>
  </sheetViews>
  <sheetFormatPr defaultRowHeight="15" x14ac:dyDescent="0.25"/>
  <cols>
    <col min="1" max="1" width="7.7109375" style="2" customWidth="1"/>
    <col min="2" max="2" width="14.5703125" style="2" customWidth="1"/>
    <col min="3" max="18" width="11.5703125" style="2" customWidth="1"/>
    <col min="19" max="16384" width="9.140625" style="49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8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57</v>
      </c>
      <c r="D5" s="1"/>
      <c r="E5" s="8">
        <f>WACC!K14-3%</f>
        <v>9.0763938782930959E-2</v>
      </c>
      <c r="G5" s="1"/>
      <c r="H5" s="1" t="s">
        <v>2</v>
      </c>
      <c r="I5" s="1"/>
      <c r="J5" s="7">
        <v>280.95</v>
      </c>
      <c r="K5" s="1"/>
      <c r="L5" s="1" t="s">
        <v>3</v>
      </c>
      <c r="M5" s="1"/>
      <c r="N5" s="65">
        <f>(J6/J5)-1</f>
        <v>4.6203177187098543E-3</v>
      </c>
      <c r="O5" s="1"/>
      <c r="P5" s="1"/>
      <c r="Q5" s="1"/>
    </row>
    <row r="6" spans="1:86" x14ac:dyDescent="0.25">
      <c r="A6" s="1"/>
      <c r="B6" s="1"/>
      <c r="C6" s="71" t="s">
        <v>58</v>
      </c>
      <c r="D6" s="72"/>
      <c r="E6" s="73">
        <f>WACC!K14</f>
        <v>0.12076393878293096</v>
      </c>
      <c r="G6" s="1"/>
      <c r="H6" s="1" t="s">
        <v>5</v>
      </c>
      <c r="I6" s="1"/>
      <c r="J6" s="7">
        <f>D71</f>
        <v>282.24807826307153</v>
      </c>
      <c r="K6" s="1"/>
      <c r="L6" s="1"/>
      <c r="M6" s="1"/>
      <c r="N6" s="65"/>
      <c r="O6" s="1"/>
      <c r="P6" s="1"/>
      <c r="Q6" s="1"/>
    </row>
    <row r="7" spans="1:86" x14ac:dyDescent="0.25">
      <c r="A7" s="1"/>
      <c r="B7" s="1"/>
      <c r="C7" s="7" t="s">
        <v>4</v>
      </c>
      <c r="D7" s="1"/>
      <c r="E7" s="8">
        <v>0.03</v>
      </c>
      <c r="G7" s="1"/>
      <c r="K7" s="1"/>
      <c r="L7" s="1" t="s">
        <v>53</v>
      </c>
      <c r="M7" s="1"/>
      <c r="N7" s="64">
        <v>45075</v>
      </c>
      <c r="O7" s="1"/>
      <c r="P7" s="1"/>
      <c r="Q7" s="1"/>
    </row>
    <row r="8" spans="1:86" x14ac:dyDescent="0.25">
      <c r="B8" s="64"/>
      <c r="C8" s="1"/>
      <c r="D8" s="1"/>
      <c r="E8" s="9"/>
      <c r="F8" s="1"/>
      <c r="G8" s="1"/>
      <c r="H8" s="1"/>
      <c r="I8" s="1"/>
      <c r="J8" s="1"/>
      <c r="K8" s="1"/>
      <c r="L8" s="55"/>
      <c r="M8" s="1"/>
      <c r="N8" s="1"/>
      <c r="O8" s="1"/>
      <c r="P8" s="1"/>
      <c r="Q8" s="1"/>
    </row>
    <row r="9" spans="1:86" x14ac:dyDescent="0.25">
      <c r="A9" s="1"/>
      <c r="B9" s="12"/>
      <c r="C9" s="1"/>
      <c r="D9" s="1"/>
      <c r="E9" s="36"/>
      <c r="F9" s="1"/>
      <c r="G9" s="1"/>
      <c r="H9" s="12"/>
      <c r="I9" s="1"/>
      <c r="J9" s="1"/>
      <c r="K9" s="1"/>
      <c r="L9" s="1"/>
      <c r="M9" s="1"/>
      <c r="N9" s="1"/>
      <c r="O9" s="1"/>
      <c r="P9" s="1"/>
      <c r="Q9" s="1"/>
    </row>
    <row r="10" spans="1:86" x14ac:dyDescent="0.25">
      <c r="A10" s="1"/>
      <c r="B10" s="1"/>
      <c r="C10" s="1"/>
      <c r="D10" s="1"/>
      <c r="E10" s="1"/>
      <c r="F10" s="1"/>
      <c r="G10" s="1"/>
      <c r="H10" s="1"/>
      <c r="I10" s="1">
        <v>1</v>
      </c>
      <c r="J10" s="1">
        <f>I10+1</f>
        <v>2</v>
      </c>
      <c r="K10" s="1">
        <f t="shared" ref="K10:R10" si="0">J10+1</f>
        <v>3</v>
      </c>
      <c r="L10" s="1">
        <f t="shared" si="0"/>
        <v>4</v>
      </c>
      <c r="M10" s="1">
        <f t="shared" si="0"/>
        <v>5</v>
      </c>
      <c r="N10" s="1">
        <f t="shared" si="0"/>
        <v>6</v>
      </c>
      <c r="O10" s="1">
        <f t="shared" si="0"/>
        <v>7</v>
      </c>
      <c r="P10" s="1">
        <f t="shared" si="0"/>
        <v>8</v>
      </c>
      <c r="Q10" s="1">
        <f t="shared" si="0"/>
        <v>9</v>
      </c>
      <c r="R10" s="1">
        <f t="shared" si="0"/>
        <v>10</v>
      </c>
    </row>
    <row r="11" spans="1:86" x14ac:dyDescent="0.25">
      <c r="A11" s="1"/>
      <c r="B11" s="10" t="s">
        <v>6</v>
      </c>
      <c r="C11" s="10">
        <v>2017</v>
      </c>
      <c r="D11" s="10">
        <v>2018</v>
      </c>
      <c r="E11" s="11">
        <v>2019</v>
      </c>
      <c r="F11" s="10">
        <v>2020</v>
      </c>
      <c r="G11" s="10">
        <v>2021</v>
      </c>
      <c r="H11" s="10">
        <v>2022</v>
      </c>
      <c r="I11" s="62">
        <v>2023</v>
      </c>
      <c r="J11" s="11">
        <v>2024</v>
      </c>
      <c r="K11" s="11">
        <v>2025</v>
      </c>
      <c r="L11" s="11">
        <v>2026</v>
      </c>
      <c r="M11" s="11">
        <v>2027</v>
      </c>
      <c r="N11" s="11">
        <v>2028</v>
      </c>
      <c r="O11" s="11">
        <v>2029</v>
      </c>
      <c r="P11" s="11">
        <v>2030</v>
      </c>
      <c r="Q11" s="11">
        <v>2031</v>
      </c>
      <c r="R11" s="11">
        <v>2032</v>
      </c>
      <c r="S11" s="10">
        <v>2033</v>
      </c>
      <c r="T11" s="10">
        <v>2034</v>
      </c>
      <c r="U11" s="10">
        <v>2035</v>
      </c>
      <c r="V11" s="10">
        <v>2036</v>
      </c>
      <c r="W11" s="10">
        <v>2037</v>
      </c>
      <c r="X11" s="10">
        <v>2038</v>
      </c>
      <c r="Y11" s="10">
        <v>2039</v>
      </c>
      <c r="Z11" s="10">
        <v>2040</v>
      </c>
      <c r="AA11" s="10">
        <v>2041</v>
      </c>
      <c r="AB11" s="10">
        <v>2042</v>
      </c>
      <c r="AC11" s="10">
        <v>2043</v>
      </c>
      <c r="AD11" s="10">
        <v>2044</v>
      </c>
      <c r="AE11" s="10">
        <v>2045</v>
      </c>
      <c r="AF11" s="10">
        <v>2046</v>
      </c>
      <c r="AG11" s="10">
        <v>2047</v>
      </c>
      <c r="AH11" s="10">
        <v>2048</v>
      </c>
      <c r="AI11" s="10">
        <v>2049</v>
      </c>
      <c r="AJ11" s="10">
        <v>2050</v>
      </c>
      <c r="AK11" s="10">
        <v>2051</v>
      </c>
      <c r="AL11" s="10">
        <v>2052</v>
      </c>
      <c r="AM11" s="10">
        <v>2053</v>
      </c>
      <c r="AN11" s="10">
        <v>2054</v>
      </c>
      <c r="AO11" s="10">
        <v>2055</v>
      </c>
      <c r="AP11" s="10">
        <v>2056</v>
      </c>
      <c r="AQ11" s="10">
        <v>2057</v>
      </c>
      <c r="AR11" s="10">
        <v>2058</v>
      </c>
      <c r="AS11" s="10">
        <v>2059</v>
      </c>
      <c r="AT11" s="10">
        <v>2060</v>
      </c>
      <c r="AU11" s="10">
        <v>2061</v>
      </c>
      <c r="AV11" s="10">
        <v>2062</v>
      </c>
      <c r="AW11" s="10">
        <v>2063</v>
      </c>
      <c r="AX11" s="10">
        <v>2064</v>
      </c>
      <c r="AY11" s="10">
        <v>2065</v>
      </c>
      <c r="AZ11" s="10">
        <v>2066</v>
      </c>
      <c r="BA11" s="10">
        <v>2067</v>
      </c>
      <c r="BB11" s="10">
        <v>2068</v>
      </c>
      <c r="BC11" s="10">
        <v>2069</v>
      </c>
      <c r="BD11" s="10">
        <v>2070</v>
      </c>
      <c r="BE11" s="10">
        <v>2071</v>
      </c>
      <c r="BF11" s="10">
        <v>2072</v>
      </c>
      <c r="BG11" s="10">
        <v>2073</v>
      </c>
      <c r="BH11" s="10">
        <v>2074</v>
      </c>
      <c r="BI11" s="10">
        <v>2075</v>
      </c>
      <c r="BJ11" s="10">
        <v>2076</v>
      </c>
      <c r="BK11" s="10">
        <v>2077</v>
      </c>
      <c r="BL11" s="10">
        <v>2078</v>
      </c>
      <c r="BM11" s="10">
        <v>2079</v>
      </c>
      <c r="BN11" s="10">
        <v>2080</v>
      </c>
      <c r="BO11" s="10">
        <v>2081</v>
      </c>
      <c r="BP11" s="10">
        <v>2082</v>
      </c>
      <c r="BQ11" s="10">
        <v>2083</v>
      </c>
      <c r="BR11" s="10">
        <v>2084</v>
      </c>
      <c r="BS11" s="10">
        <v>2085</v>
      </c>
      <c r="BT11" s="10">
        <v>2086</v>
      </c>
      <c r="BU11" s="10">
        <v>2087</v>
      </c>
      <c r="BV11" s="10">
        <v>2088</v>
      </c>
      <c r="BW11" s="10">
        <v>2089</v>
      </c>
      <c r="BX11" s="10">
        <v>2090</v>
      </c>
      <c r="BY11" s="10">
        <v>2091</v>
      </c>
      <c r="BZ11" s="10">
        <v>2092</v>
      </c>
      <c r="CA11" s="10">
        <v>2093</v>
      </c>
      <c r="CB11" s="10">
        <v>2094</v>
      </c>
      <c r="CC11" s="10">
        <v>2095</v>
      </c>
      <c r="CD11" s="10">
        <v>2096</v>
      </c>
      <c r="CE11" s="10">
        <v>2097</v>
      </c>
      <c r="CF11" s="10">
        <v>2098</v>
      </c>
      <c r="CG11" s="10">
        <v>2099</v>
      </c>
      <c r="CH11" s="10">
        <v>2100</v>
      </c>
    </row>
    <row r="12" spans="1:86" x14ac:dyDescent="0.25">
      <c r="A12" s="1"/>
      <c r="B12" s="1" t="s">
        <v>7</v>
      </c>
      <c r="C12" s="12">
        <v>433047</v>
      </c>
      <c r="D12" s="12">
        <v>566336</v>
      </c>
      <c r="E12" s="12">
        <v>737671</v>
      </c>
      <c r="F12" s="12">
        <v>841434</v>
      </c>
      <c r="G12" s="12">
        <v>1055524</v>
      </c>
      <c r="H12" s="12">
        <v>1375218</v>
      </c>
      <c r="I12" s="74">
        <f>H12*(1+I13)</f>
        <v>1710000</v>
      </c>
      <c r="J12" s="75">
        <f t="shared" ref="J12:R12" si="1">I12*(1+J13)</f>
        <v>2070000</v>
      </c>
      <c r="K12" s="75">
        <f t="shared" si="1"/>
        <v>2470000</v>
      </c>
      <c r="L12" s="75">
        <f t="shared" si="1"/>
        <v>2879999.9999999995</v>
      </c>
      <c r="M12" s="75">
        <f t="shared" si="1"/>
        <v>3329999.9999999995</v>
      </c>
      <c r="N12" s="75">
        <f t="shared" si="1"/>
        <v>3669999.9999999991</v>
      </c>
      <c r="O12" s="75">
        <f t="shared" si="1"/>
        <v>4109999.9999999991</v>
      </c>
      <c r="P12" s="75">
        <f t="shared" si="1"/>
        <v>4539999.9999999991</v>
      </c>
      <c r="Q12" s="75">
        <f t="shared" si="1"/>
        <v>5014987.8345498769</v>
      </c>
      <c r="R12" s="75">
        <f t="shared" si="1"/>
        <v>5539670.2600623947</v>
      </c>
    </row>
    <row r="13" spans="1:86" x14ac:dyDescent="0.25">
      <c r="A13" s="1"/>
      <c r="B13" s="67" t="s">
        <v>8</v>
      </c>
      <c r="C13" s="68"/>
      <c r="D13" s="68">
        <f>(D12/C12)-1</f>
        <v>0.30779338039519955</v>
      </c>
      <c r="E13" s="68">
        <f t="shared" ref="E13:H13" si="2">(E12/D12)-1</f>
        <v>0.30253241891739169</v>
      </c>
      <c r="F13" s="68">
        <f t="shared" si="2"/>
        <v>0.14066297848227727</v>
      </c>
      <c r="G13" s="68">
        <f t="shared" si="2"/>
        <v>0.25443469125326534</v>
      </c>
      <c r="H13" s="68">
        <f t="shared" si="2"/>
        <v>0.30287705442983759</v>
      </c>
      <c r="I13" s="88">
        <v>0.24343922199971213</v>
      </c>
      <c r="J13" s="89">
        <v>0.21052631578947367</v>
      </c>
      <c r="K13" s="89">
        <v>0.19323671497584538</v>
      </c>
      <c r="L13" s="89">
        <v>0.165991902834008</v>
      </c>
      <c r="M13" s="89">
        <v>0.15625</v>
      </c>
      <c r="N13" s="89">
        <v>0.10210210210210202</v>
      </c>
      <c r="O13" s="89">
        <v>0.11989100817438691</v>
      </c>
      <c r="P13" s="89">
        <v>0.10462287104622869</v>
      </c>
      <c r="Q13" s="89">
        <v>0.10462287104622869</v>
      </c>
      <c r="R13" s="89">
        <v>0.10462287104622869</v>
      </c>
    </row>
    <row r="14" spans="1:86" x14ac:dyDescent="0.25">
      <c r="A14" s="1"/>
      <c r="B14" s="6"/>
      <c r="C14" s="1"/>
      <c r="D14" s="1"/>
      <c r="E14" s="1"/>
      <c r="F14" s="1"/>
      <c r="G14" s="1"/>
      <c r="H14" s="1"/>
      <c r="I14" s="78"/>
      <c r="J14" s="79"/>
      <c r="K14" s="79"/>
      <c r="L14" s="79"/>
      <c r="M14" s="79"/>
      <c r="N14" s="79"/>
      <c r="O14" s="79"/>
      <c r="P14" s="79"/>
      <c r="Q14" s="79"/>
      <c r="R14" s="79"/>
    </row>
    <row r="15" spans="1:86" x14ac:dyDescent="0.25">
      <c r="A15" s="1"/>
      <c r="B15" s="1" t="s">
        <v>9</v>
      </c>
      <c r="C15" s="12">
        <v>72028</v>
      </c>
      <c r="D15" s="12">
        <v>90763</v>
      </c>
      <c r="E15" s="12">
        <v>109747</v>
      </c>
      <c r="F15" s="12">
        <v>123546</v>
      </c>
      <c r="G15" s="12">
        <v>161886</v>
      </c>
      <c r="H15" s="34">
        <v>212741</v>
      </c>
      <c r="I15" s="80">
        <f>I12-I17</f>
        <v>250002</v>
      </c>
      <c r="J15" s="81">
        <f t="shared" ref="J15:K15" si="3">J12-J17</f>
        <v>293319</v>
      </c>
      <c r="K15" s="81">
        <f t="shared" si="3"/>
        <v>306280</v>
      </c>
      <c r="L15" s="81">
        <f t="shared" ref="L15:R15" si="4">L12-L17</f>
        <v>354240</v>
      </c>
      <c r="M15" s="81">
        <f t="shared" si="4"/>
        <v>406260</v>
      </c>
      <c r="N15" s="81">
        <f t="shared" si="4"/>
        <v>440400</v>
      </c>
      <c r="O15" s="81">
        <f t="shared" si="4"/>
        <v>480870</v>
      </c>
      <c r="P15" s="81">
        <f t="shared" si="4"/>
        <v>513020</v>
      </c>
      <c r="Q15" s="81">
        <f t="shared" si="4"/>
        <v>541618.68613138702</v>
      </c>
      <c r="R15" s="81">
        <f t="shared" si="4"/>
        <v>598284.388086739</v>
      </c>
    </row>
    <row r="16" spans="1:86" x14ac:dyDescent="0.25">
      <c r="A16" s="1"/>
      <c r="B16" s="18"/>
      <c r="C16" s="18"/>
      <c r="D16" s="18"/>
      <c r="E16" s="18"/>
      <c r="F16" s="18"/>
      <c r="G16" s="18"/>
      <c r="H16" s="18"/>
      <c r="I16" s="78"/>
      <c r="J16" s="79"/>
      <c r="K16" s="79"/>
      <c r="L16" s="79"/>
      <c r="M16" s="79"/>
      <c r="N16" s="79"/>
      <c r="O16" s="79"/>
      <c r="P16" s="79"/>
      <c r="Q16" s="79"/>
      <c r="R16" s="79"/>
    </row>
    <row r="17" spans="1:18" x14ac:dyDescent="0.25">
      <c r="A17" s="1"/>
      <c r="B17" s="1" t="s">
        <v>10</v>
      </c>
      <c r="C17" s="12">
        <f t="shared" ref="C17:F17" si="5">C12-C15</f>
        <v>361019</v>
      </c>
      <c r="D17" s="12">
        <f t="shared" si="5"/>
        <v>475573</v>
      </c>
      <c r="E17" s="12">
        <f t="shared" si="5"/>
        <v>627924</v>
      </c>
      <c r="F17" s="12">
        <f t="shared" si="5"/>
        <v>717888</v>
      </c>
      <c r="G17" s="12">
        <f>G12-G15</f>
        <v>893638</v>
      </c>
      <c r="H17" s="12">
        <f>H12-H15</f>
        <v>1162477</v>
      </c>
      <c r="I17" s="74">
        <f>I12*I18</f>
        <v>1459998</v>
      </c>
      <c r="J17" s="75">
        <f t="shared" ref="J17:R17" si="6">J12*J18</f>
        <v>1776681</v>
      </c>
      <c r="K17" s="75">
        <f t="shared" si="6"/>
        <v>2163720</v>
      </c>
      <c r="L17" s="75">
        <f t="shared" si="6"/>
        <v>2525759.9999999995</v>
      </c>
      <c r="M17" s="75">
        <f t="shared" si="6"/>
        <v>2923739.9999999995</v>
      </c>
      <c r="N17" s="75">
        <f t="shared" si="6"/>
        <v>3229599.9999999991</v>
      </c>
      <c r="O17" s="75">
        <f t="shared" si="6"/>
        <v>3629129.9999999991</v>
      </c>
      <c r="P17" s="75">
        <f t="shared" si="6"/>
        <v>4026979.9999999991</v>
      </c>
      <c r="Q17" s="75">
        <f t="shared" si="6"/>
        <v>4473369.1484184898</v>
      </c>
      <c r="R17" s="75">
        <f t="shared" si="6"/>
        <v>4941385.8719756557</v>
      </c>
    </row>
    <row r="18" spans="1:18" x14ac:dyDescent="0.25">
      <c r="A18" s="1"/>
      <c r="B18" s="67" t="s">
        <v>11</v>
      </c>
      <c r="C18" s="68">
        <f>C17/C12</f>
        <v>0.83367163379494602</v>
      </c>
      <c r="D18" s="68">
        <f t="shared" ref="D18:H18" si="7">D17/D12</f>
        <v>0.83973648152333602</v>
      </c>
      <c r="E18" s="68">
        <f t="shared" si="7"/>
        <v>0.85122500410074409</v>
      </c>
      <c r="F18" s="68">
        <f t="shared" si="7"/>
        <v>0.8531720847980947</v>
      </c>
      <c r="G18" s="68">
        <f t="shared" si="7"/>
        <v>0.84662973082563731</v>
      </c>
      <c r="H18" s="68">
        <f t="shared" si="7"/>
        <v>0.84530379910675979</v>
      </c>
      <c r="I18" s="92">
        <v>0.8538</v>
      </c>
      <c r="J18" s="93">
        <v>0.85829999999999995</v>
      </c>
      <c r="K18" s="93">
        <v>0.876</v>
      </c>
      <c r="L18" s="93">
        <v>0.877</v>
      </c>
      <c r="M18" s="93">
        <v>0.878</v>
      </c>
      <c r="N18" s="93">
        <v>0.88</v>
      </c>
      <c r="O18" s="93">
        <v>0.88300000000000001</v>
      </c>
      <c r="P18" s="93">
        <v>0.88700000000000001</v>
      </c>
      <c r="Q18" s="93">
        <v>0.89200000000000002</v>
      </c>
      <c r="R18" s="93">
        <v>0.89200000000000002</v>
      </c>
    </row>
    <row r="19" spans="1:18" x14ac:dyDescent="0.25">
      <c r="A19" s="1"/>
      <c r="B19" s="6"/>
      <c r="C19" s="1"/>
      <c r="D19" s="1"/>
      <c r="E19" s="1"/>
      <c r="F19" s="1"/>
      <c r="G19" s="1"/>
      <c r="H19" s="1"/>
      <c r="I19" s="78"/>
      <c r="J19" s="79"/>
      <c r="K19" s="79"/>
      <c r="L19" s="79"/>
      <c r="M19" s="79"/>
      <c r="N19" s="79"/>
      <c r="O19" s="79"/>
      <c r="P19" s="79"/>
      <c r="Q19" s="79"/>
      <c r="R19" s="79"/>
    </row>
    <row r="20" spans="1:18" x14ac:dyDescent="0.25">
      <c r="A20" s="1"/>
      <c r="B20" s="1" t="s">
        <v>12</v>
      </c>
      <c r="C20" s="12">
        <v>30430</v>
      </c>
      <c r="D20" s="12">
        <v>46247</v>
      </c>
      <c r="E20" s="12">
        <v>73080</v>
      </c>
      <c r="F20" s="12">
        <v>90244</v>
      </c>
      <c r="G20" s="12">
        <v>118426</v>
      </c>
      <c r="H20" s="12">
        <v>148343</v>
      </c>
      <c r="I20" s="74">
        <f>I21*I12</f>
        <v>205200</v>
      </c>
      <c r="J20" s="75">
        <f t="shared" ref="J20:R20" si="8">J21*J12</f>
        <v>256680</v>
      </c>
      <c r="K20" s="75">
        <f t="shared" si="8"/>
        <v>303810</v>
      </c>
      <c r="L20" s="75">
        <f t="shared" si="8"/>
        <v>331199.99999999994</v>
      </c>
      <c r="M20" s="75">
        <f t="shared" si="8"/>
        <v>366299.99999999994</v>
      </c>
      <c r="N20" s="75">
        <f t="shared" si="8"/>
        <v>389019.99999999988</v>
      </c>
      <c r="O20" s="75">
        <f t="shared" si="8"/>
        <v>435659.99999999988</v>
      </c>
      <c r="P20" s="75">
        <f t="shared" si="8"/>
        <v>453999.99999999994</v>
      </c>
      <c r="Q20" s="75">
        <f t="shared" si="8"/>
        <v>476423.84428223828</v>
      </c>
      <c r="R20" s="75">
        <f t="shared" si="8"/>
        <v>498570.32340561552</v>
      </c>
    </row>
    <row r="21" spans="1:18" x14ac:dyDescent="0.25">
      <c r="A21" s="1"/>
      <c r="B21" s="67" t="s">
        <v>18</v>
      </c>
      <c r="C21" s="68">
        <f>C20/C12</f>
        <v>7.0269508852387849E-2</v>
      </c>
      <c r="D21" s="68">
        <f t="shared" ref="D21:H21" si="9">D20/D12</f>
        <v>8.166000395524918E-2</v>
      </c>
      <c r="E21" s="68">
        <f t="shared" si="9"/>
        <v>9.9068554952004353E-2</v>
      </c>
      <c r="F21" s="68">
        <f t="shared" si="9"/>
        <v>0.10725024184903391</v>
      </c>
      <c r="G21" s="68">
        <f t="shared" si="9"/>
        <v>0.11219640671363228</v>
      </c>
      <c r="H21" s="68">
        <f t="shared" si="9"/>
        <v>0.10786871608719491</v>
      </c>
      <c r="I21" s="88">
        <v>0.12</v>
      </c>
      <c r="J21" s="89">
        <v>0.124</v>
      </c>
      <c r="K21" s="89">
        <v>0.123</v>
      </c>
      <c r="L21" s="89">
        <v>0.115</v>
      </c>
      <c r="M21" s="89">
        <v>0.11</v>
      </c>
      <c r="N21" s="89">
        <v>0.106</v>
      </c>
      <c r="O21" s="89">
        <v>0.106</v>
      </c>
      <c r="P21" s="89">
        <v>0.1</v>
      </c>
      <c r="Q21" s="89">
        <v>9.5000000000000001E-2</v>
      </c>
      <c r="R21" s="89">
        <v>0.09</v>
      </c>
    </row>
    <row r="22" spans="1:18" x14ac:dyDescent="0.25">
      <c r="A22" s="1"/>
      <c r="B22" s="14"/>
      <c r="C22" s="12"/>
      <c r="D22" s="12"/>
      <c r="E22" s="12"/>
      <c r="F22" s="12"/>
      <c r="G22" s="12"/>
      <c r="H22" s="12"/>
      <c r="I22" s="74"/>
      <c r="J22" s="75"/>
      <c r="K22" s="75"/>
      <c r="L22" s="75"/>
      <c r="M22" s="75"/>
      <c r="N22" s="75"/>
      <c r="O22" s="75"/>
      <c r="P22" s="75"/>
      <c r="Q22" s="75"/>
      <c r="R22" s="75"/>
    </row>
    <row r="23" spans="1:18" x14ac:dyDescent="0.25">
      <c r="A23" s="1"/>
      <c r="B23" s="1" t="s">
        <v>54</v>
      </c>
      <c r="C23" s="12">
        <v>110846</v>
      </c>
      <c r="D23" s="12">
        <v>143881</v>
      </c>
      <c r="E23" s="12">
        <v>179286</v>
      </c>
      <c r="F23" s="12">
        <v>235716</v>
      </c>
      <c r="G23" s="12">
        <v>275994</v>
      </c>
      <c r="H23" s="12">
        <v>346561</v>
      </c>
      <c r="I23" s="74">
        <f>I24*I12</f>
        <v>461700.00000000006</v>
      </c>
      <c r="J23" s="75">
        <f t="shared" ref="J23:R23" si="10">J24*J12</f>
        <v>563040</v>
      </c>
      <c r="K23" s="75">
        <f t="shared" si="10"/>
        <v>666900</v>
      </c>
      <c r="L23" s="75">
        <f t="shared" si="10"/>
        <v>777599.99999999988</v>
      </c>
      <c r="M23" s="75">
        <f t="shared" si="10"/>
        <v>882449.99999999988</v>
      </c>
      <c r="N23" s="75">
        <f t="shared" si="10"/>
        <v>954199.99999999977</v>
      </c>
      <c r="O23" s="75">
        <f t="shared" si="10"/>
        <v>1068599.9999999998</v>
      </c>
      <c r="P23" s="75">
        <f t="shared" si="10"/>
        <v>1134999.9999999998</v>
      </c>
      <c r="Q23" s="75">
        <f t="shared" si="10"/>
        <v>1228672.0194647198</v>
      </c>
      <c r="R23" s="75">
        <f t="shared" si="10"/>
        <v>1329520.8624149747</v>
      </c>
    </row>
    <row r="24" spans="1:18" x14ac:dyDescent="0.25">
      <c r="A24" s="1"/>
      <c r="B24" s="67" t="s">
        <v>18</v>
      </c>
      <c r="C24" s="68">
        <f>C23/C12</f>
        <v>0.25596759705066657</v>
      </c>
      <c r="D24" s="68">
        <f t="shared" ref="D24:H24" si="11">D23/D12</f>
        <v>0.25405589614645724</v>
      </c>
      <c r="E24" s="68">
        <f t="shared" si="11"/>
        <v>0.24304330792453546</v>
      </c>
      <c r="F24" s="68">
        <f t="shared" si="11"/>
        <v>0.28013605345160764</v>
      </c>
      <c r="G24" s="68">
        <f t="shared" si="11"/>
        <v>0.26147581675073234</v>
      </c>
      <c r="H24" s="68">
        <f t="shared" si="11"/>
        <v>0.25200440948271474</v>
      </c>
      <c r="I24" s="88">
        <v>0.27</v>
      </c>
      <c r="J24" s="89">
        <v>0.27200000000000002</v>
      </c>
      <c r="K24" s="89">
        <v>0.27</v>
      </c>
      <c r="L24" s="89">
        <v>0.27</v>
      </c>
      <c r="M24" s="89">
        <v>0.26500000000000001</v>
      </c>
      <c r="N24" s="89">
        <v>0.26</v>
      </c>
      <c r="O24" s="89">
        <v>0.26</v>
      </c>
      <c r="P24" s="89">
        <v>0.25</v>
      </c>
      <c r="Q24" s="89">
        <v>0.245</v>
      </c>
      <c r="R24" s="89">
        <v>0.24</v>
      </c>
    </row>
    <row r="25" spans="1:18" x14ac:dyDescent="0.25">
      <c r="A25" s="1"/>
      <c r="B25" s="14"/>
      <c r="C25" s="12"/>
      <c r="D25" s="12"/>
      <c r="E25" s="12"/>
      <c r="F25" s="12"/>
      <c r="G25" s="12"/>
      <c r="H25" s="12"/>
      <c r="I25" s="74"/>
      <c r="J25" s="75"/>
      <c r="K25" s="75"/>
      <c r="L25" s="75"/>
      <c r="M25" s="75"/>
      <c r="N25" s="75"/>
      <c r="O25" s="75"/>
      <c r="P25" s="75"/>
      <c r="Q25" s="75"/>
      <c r="R25" s="75"/>
    </row>
    <row r="26" spans="1:18" x14ac:dyDescent="0.25">
      <c r="A26" s="1"/>
      <c r="B26" s="1" t="s">
        <v>55</v>
      </c>
      <c r="C26" s="12">
        <v>80228</v>
      </c>
      <c r="D26" s="12">
        <v>96605</v>
      </c>
      <c r="E26" s="12">
        <v>127534</v>
      </c>
      <c r="F26" s="12">
        <v>178200</v>
      </c>
      <c r="G26" s="12">
        <v>209840</v>
      </c>
      <c r="H26" s="12">
        <v>239130</v>
      </c>
      <c r="I26" s="82">
        <f t="shared" ref="I26:R26" si="12">I27*I12</f>
        <v>314640</v>
      </c>
      <c r="J26" s="83">
        <f t="shared" si="12"/>
        <v>386055</v>
      </c>
      <c r="K26" s="83">
        <f t="shared" si="12"/>
        <v>466830</v>
      </c>
      <c r="L26" s="83">
        <f t="shared" si="12"/>
        <v>532799.99999999988</v>
      </c>
      <c r="M26" s="83">
        <f t="shared" si="12"/>
        <v>582749.99999999988</v>
      </c>
      <c r="N26" s="83">
        <f t="shared" si="12"/>
        <v>623899.99999999988</v>
      </c>
      <c r="O26" s="83">
        <f t="shared" si="12"/>
        <v>698699.99999999988</v>
      </c>
      <c r="P26" s="83">
        <f t="shared" si="12"/>
        <v>680999.99999999988</v>
      </c>
      <c r="Q26" s="83">
        <f t="shared" si="12"/>
        <v>752248.17518248153</v>
      </c>
      <c r="R26" s="83">
        <f t="shared" si="12"/>
        <v>830950.5390093592</v>
      </c>
    </row>
    <row r="27" spans="1:18" x14ac:dyDescent="0.25">
      <c r="A27" s="1"/>
      <c r="B27" s="67" t="s">
        <v>18</v>
      </c>
      <c r="C27" s="68">
        <f t="shared" ref="C27:H27" si="13">C26/C12</f>
        <v>0.18526395518269378</v>
      </c>
      <c r="D27" s="68">
        <f t="shared" si="13"/>
        <v>0.17057894959882472</v>
      </c>
      <c r="E27" s="68">
        <f t="shared" si="13"/>
        <v>0.17288737119935582</v>
      </c>
      <c r="F27" s="68">
        <f t="shared" si="13"/>
        <v>0.21178131618166129</v>
      </c>
      <c r="G27" s="68">
        <f t="shared" si="13"/>
        <v>0.198801732599164</v>
      </c>
      <c r="H27" s="68">
        <f t="shared" si="13"/>
        <v>0.17388515857122289</v>
      </c>
      <c r="I27" s="88">
        <v>0.184</v>
      </c>
      <c r="J27" s="89">
        <f>I27+0.25%</f>
        <v>0.1865</v>
      </c>
      <c r="K27" s="89">
        <v>0.189</v>
      </c>
      <c r="L27" s="89">
        <v>0.185</v>
      </c>
      <c r="M27" s="89">
        <v>0.17499999999999999</v>
      </c>
      <c r="N27" s="89">
        <v>0.17</v>
      </c>
      <c r="O27" s="89">
        <v>0.17</v>
      </c>
      <c r="P27" s="89">
        <v>0.15</v>
      </c>
      <c r="Q27" s="89">
        <v>0.15</v>
      </c>
      <c r="R27" s="89">
        <v>0.15</v>
      </c>
    </row>
    <row r="28" spans="1:18" x14ac:dyDescent="0.25">
      <c r="A28" s="1"/>
      <c r="B28" s="14"/>
      <c r="C28" s="12"/>
      <c r="D28" s="12"/>
      <c r="E28" s="12"/>
      <c r="F28" s="12"/>
      <c r="G28" s="12"/>
      <c r="H28" s="12"/>
      <c r="I28" s="82"/>
      <c r="J28" s="83"/>
      <c r="K28" s="83"/>
      <c r="L28" s="83"/>
      <c r="M28" s="83"/>
      <c r="N28" s="83"/>
      <c r="O28" s="83"/>
      <c r="P28" s="83"/>
      <c r="Q28" s="83"/>
      <c r="R28" s="83"/>
    </row>
    <row r="29" spans="1:18" x14ac:dyDescent="0.25">
      <c r="A29" s="1"/>
      <c r="B29" s="1" t="s">
        <v>56</v>
      </c>
      <c r="C29" s="12">
        <v>9805</v>
      </c>
      <c r="D29" s="12">
        <v>15125</v>
      </c>
      <c r="E29" s="12">
        <v>21800</v>
      </c>
      <c r="F29" s="12">
        <v>27605</v>
      </c>
      <c r="G29" s="12">
        <v>35811</v>
      </c>
      <c r="H29" s="12">
        <v>49764</v>
      </c>
      <c r="I29" s="82">
        <f t="shared" ref="I29:R29" si="14">I30*I12</f>
        <v>67660.26369114421</v>
      </c>
      <c r="J29" s="83">
        <f t="shared" si="14"/>
        <v>87383.400102248837</v>
      </c>
      <c r="K29" s="83">
        <f t="shared" si="14"/>
        <v>104269.08128142735</v>
      </c>
      <c r="L29" s="83">
        <f t="shared" si="14"/>
        <v>121576.90449008532</v>
      </c>
      <c r="M29" s="83">
        <f t="shared" si="14"/>
        <v>140573.29581666115</v>
      </c>
      <c r="N29" s="83">
        <f t="shared" si="14"/>
        <v>154926.12481896288</v>
      </c>
      <c r="O29" s="83">
        <f t="shared" si="14"/>
        <v>173500.37411605925</v>
      </c>
      <c r="P29" s="83">
        <f t="shared" si="14"/>
        <v>191652.48138367615</v>
      </c>
      <c r="Q29" s="83">
        <f t="shared" si="14"/>
        <v>211703.71422917023</v>
      </c>
      <c r="R29" s="83">
        <f t="shared" si="14"/>
        <v>233852.76462297636</v>
      </c>
    </row>
    <row r="30" spans="1:18" x14ac:dyDescent="0.25">
      <c r="A30" s="1"/>
      <c r="B30" s="67" t="s">
        <v>18</v>
      </c>
      <c r="C30" s="68">
        <f t="shared" ref="C30:H30" si="15">C29/C12</f>
        <v>2.2641884137287637E-2</v>
      </c>
      <c r="D30" s="68">
        <f t="shared" si="15"/>
        <v>2.6706760650921008E-2</v>
      </c>
      <c r="E30" s="68">
        <f t="shared" si="15"/>
        <v>2.9552469868003486E-2</v>
      </c>
      <c r="F30" s="68">
        <f t="shared" si="15"/>
        <v>3.2807088850700113E-2</v>
      </c>
      <c r="G30" s="68">
        <f t="shared" si="15"/>
        <v>3.3927224771772124E-2</v>
      </c>
      <c r="H30" s="68">
        <f t="shared" si="15"/>
        <v>3.6186262832510918E-2</v>
      </c>
      <c r="I30" s="88">
        <v>3.9567405667335798E-2</v>
      </c>
      <c r="J30" s="89">
        <v>4.2214202947946297E-2</v>
      </c>
      <c r="K30" s="89">
        <v>4.2214202947946297E-2</v>
      </c>
      <c r="L30" s="89">
        <v>4.2214202947946297E-2</v>
      </c>
      <c r="M30" s="89">
        <v>4.2214202947946297E-2</v>
      </c>
      <c r="N30" s="89">
        <v>4.2214202947946297E-2</v>
      </c>
      <c r="O30" s="89">
        <v>4.2214202947946297E-2</v>
      </c>
      <c r="P30" s="89">
        <v>4.2214202947946297E-2</v>
      </c>
      <c r="Q30" s="89">
        <v>4.2214202947946297E-2</v>
      </c>
      <c r="R30" s="89">
        <v>4.2214202947946297E-2</v>
      </c>
    </row>
    <row r="31" spans="1:18" x14ac:dyDescent="0.25">
      <c r="A31" s="1"/>
      <c r="B31" s="1"/>
      <c r="C31" s="70"/>
      <c r="D31" s="70"/>
      <c r="E31" s="70"/>
      <c r="F31" s="70"/>
      <c r="G31" s="70"/>
      <c r="H31" s="70"/>
      <c r="I31" s="84"/>
      <c r="J31" s="85"/>
      <c r="K31" s="85"/>
      <c r="L31" s="85"/>
      <c r="M31" s="85"/>
      <c r="N31" s="85"/>
      <c r="O31" s="85"/>
      <c r="P31" s="85"/>
      <c r="Q31" s="85"/>
      <c r="R31" s="85"/>
    </row>
    <row r="32" spans="1:18" x14ac:dyDescent="0.25">
      <c r="A32" s="1"/>
      <c r="B32" s="1" t="s">
        <v>13</v>
      </c>
      <c r="C32" s="12">
        <f t="shared" ref="C32:G32" si="16">C20+C23+C26+C29</f>
        <v>231309</v>
      </c>
      <c r="D32" s="12">
        <f t="shared" si="16"/>
        <v>301858</v>
      </c>
      <c r="E32" s="12">
        <f t="shared" si="16"/>
        <v>401700</v>
      </c>
      <c r="F32" s="12">
        <f t="shared" si="16"/>
        <v>531765</v>
      </c>
      <c r="G32" s="12">
        <f t="shared" si="16"/>
        <v>640071</v>
      </c>
      <c r="H32" s="12">
        <f>H20+H23+H26+H29</f>
        <v>783798</v>
      </c>
      <c r="I32" s="82">
        <f t="shared" ref="I32:R32" si="17">I20+I23+I26</f>
        <v>981540</v>
      </c>
      <c r="J32" s="83">
        <f t="shared" si="17"/>
        <v>1205775</v>
      </c>
      <c r="K32" s="83">
        <f t="shared" si="17"/>
        <v>1437540</v>
      </c>
      <c r="L32" s="83">
        <f t="shared" si="17"/>
        <v>1641599.9999999995</v>
      </c>
      <c r="M32" s="83">
        <f t="shared" si="17"/>
        <v>1831499.9999999995</v>
      </c>
      <c r="N32" s="83">
        <f t="shared" si="17"/>
        <v>1967119.9999999995</v>
      </c>
      <c r="O32" s="83">
        <f t="shared" si="17"/>
        <v>2202959.9999999995</v>
      </c>
      <c r="P32" s="83">
        <f t="shared" si="17"/>
        <v>2269999.9999999995</v>
      </c>
      <c r="Q32" s="83">
        <f t="shared" si="17"/>
        <v>2457344.0389294396</v>
      </c>
      <c r="R32" s="83">
        <f t="shared" si="17"/>
        <v>2659041.7248299494</v>
      </c>
    </row>
    <row r="33" spans="1:86" x14ac:dyDescent="0.25">
      <c r="A33" s="1"/>
      <c r="B33" s="67" t="s">
        <v>18</v>
      </c>
      <c r="C33" s="68">
        <f t="shared" ref="C33:R33" si="18">C32/C12</f>
        <v>0.53414294522303585</v>
      </c>
      <c r="D33" s="68">
        <f t="shared" si="18"/>
        <v>0.5330016103514521</v>
      </c>
      <c r="E33" s="68">
        <f t="shared" si="18"/>
        <v>0.54455170394389907</v>
      </c>
      <c r="F33" s="68">
        <f t="shared" si="18"/>
        <v>0.63197470033300296</v>
      </c>
      <c r="G33" s="68">
        <f t="shared" si="18"/>
        <v>0.60640118083530081</v>
      </c>
      <c r="H33" s="68">
        <f t="shared" si="18"/>
        <v>0.5699445469736435</v>
      </c>
      <c r="I33" s="88">
        <f t="shared" si="18"/>
        <v>0.57399999999999995</v>
      </c>
      <c r="J33" s="89">
        <f t="shared" si="18"/>
        <v>0.58250000000000002</v>
      </c>
      <c r="K33" s="89">
        <f t="shared" si="18"/>
        <v>0.58199999999999996</v>
      </c>
      <c r="L33" s="89">
        <f t="shared" si="18"/>
        <v>0.56999999999999995</v>
      </c>
      <c r="M33" s="89">
        <f t="shared" si="18"/>
        <v>0.54999999999999993</v>
      </c>
      <c r="N33" s="89">
        <f t="shared" si="18"/>
        <v>0.53600000000000003</v>
      </c>
      <c r="O33" s="89">
        <f t="shared" si="18"/>
        <v>0.53600000000000003</v>
      </c>
      <c r="P33" s="89">
        <f t="shared" si="18"/>
        <v>0.5</v>
      </c>
      <c r="Q33" s="89">
        <f t="shared" si="18"/>
        <v>0.49</v>
      </c>
      <c r="R33" s="89">
        <f t="shared" si="18"/>
        <v>0.48</v>
      </c>
    </row>
    <row r="34" spans="1:86" x14ac:dyDescent="0.25">
      <c r="A34" s="1"/>
      <c r="B34" s="1"/>
      <c r="C34" s="15"/>
      <c r="D34" s="15"/>
      <c r="E34" s="15"/>
      <c r="F34" s="15"/>
      <c r="G34" s="15"/>
      <c r="H34" s="15"/>
      <c r="I34" s="76"/>
      <c r="J34" s="77"/>
      <c r="K34" s="77"/>
      <c r="L34" s="77"/>
      <c r="M34" s="77"/>
      <c r="N34" s="77"/>
      <c r="O34" s="77"/>
      <c r="P34" s="77"/>
      <c r="Q34" s="77"/>
      <c r="R34" s="77"/>
    </row>
    <row r="35" spans="1:86" x14ac:dyDescent="0.25">
      <c r="A35" s="1"/>
      <c r="B35" s="1" t="s">
        <v>14</v>
      </c>
      <c r="C35" s="12">
        <f>C17-C20-C23-C26-C29</f>
        <v>129710</v>
      </c>
      <c r="D35" s="12">
        <f>D17-D20-D23-D26-D29</f>
        <v>173715</v>
      </c>
      <c r="E35" s="12">
        <f>E17-E20-E23-E26-E29</f>
        <v>226224</v>
      </c>
      <c r="F35" s="12">
        <f>F17-F20-F23-F26-F29</f>
        <v>186123</v>
      </c>
      <c r="G35" s="12">
        <f>G17-G20-G23-G26-G29</f>
        <v>253567</v>
      </c>
      <c r="H35" s="12">
        <f>H17-H20-H23-H26-H29</f>
        <v>378679</v>
      </c>
      <c r="I35" s="82">
        <f>I17-I20-I23-I26</f>
        <v>478458</v>
      </c>
      <c r="J35" s="83">
        <f>J17-J20-J23-J26</f>
        <v>570906</v>
      </c>
      <c r="K35" s="83">
        <f>K17-K20-K23-K26</f>
        <v>726180</v>
      </c>
      <c r="L35" s="83">
        <f>L17-L20-L23-L26</f>
        <v>884159.99999999965</v>
      </c>
      <c r="M35" s="83">
        <f>M17-M20-M23-M26</f>
        <v>1092239.9999999995</v>
      </c>
      <c r="N35" s="83">
        <f>N17-N20-N23-N26</f>
        <v>1262479.9999999995</v>
      </c>
      <c r="O35" s="83">
        <f>O17-O20-O23-O26</f>
        <v>1426169.9999999991</v>
      </c>
      <c r="P35" s="83">
        <f>P17-P20-P23-P26</f>
        <v>1756979.9999999991</v>
      </c>
      <c r="Q35" s="83">
        <f>Q17-Q20-Q23-Q26</f>
        <v>2016025.1094890505</v>
      </c>
      <c r="R35" s="83">
        <f>R17-R20-R23-R26</f>
        <v>2282344.1471457067</v>
      </c>
    </row>
    <row r="36" spans="1:86" x14ac:dyDescent="0.25">
      <c r="A36" s="1"/>
      <c r="B36" s="1" t="s">
        <v>15</v>
      </c>
      <c r="C36" s="12">
        <f>C39-C35</f>
        <v>-1978</v>
      </c>
      <c r="D36" s="12">
        <f>D39-D35</f>
        <v>996</v>
      </c>
      <c r="E36" s="12">
        <f>E39-E35</f>
        <v>-137</v>
      </c>
      <c r="F36" s="12">
        <f>F39-F35</f>
        <v>-187</v>
      </c>
      <c r="G36" s="12">
        <f>G39-G35</f>
        <v>2395</v>
      </c>
      <c r="H36" s="12">
        <f>H39-H35</f>
        <v>10899</v>
      </c>
      <c r="I36" s="82">
        <f>I37*I12</f>
        <v>1988.5546090833657</v>
      </c>
      <c r="J36" s="83">
        <f t="shared" ref="J36:R36" si="19">J37*J12</f>
        <v>4384.2308688213689</v>
      </c>
      <c r="K36" s="83">
        <f t="shared" si="19"/>
        <v>5379.342272517516</v>
      </c>
      <c r="L36" s="83">
        <f t="shared" si="19"/>
        <v>7406.7932197583314</v>
      </c>
      <c r="M36" s="83">
        <f t="shared" si="19"/>
        <v>10114.798444364524</v>
      </c>
      <c r="N36" s="83">
        <f t="shared" si="19"/>
        <v>11617.583101831682</v>
      </c>
      <c r="O36" s="83">
        <f t="shared" si="19"/>
        <v>9750.0084067040552</v>
      </c>
      <c r="P36" s="83">
        <f t="shared" si="19"/>
        <v>11685.170268387228</v>
      </c>
      <c r="Q36" s="83">
        <f t="shared" si="19"/>
        <v>13288.711776037153</v>
      </c>
      <c r="R36" s="83">
        <f t="shared" si="19"/>
        <v>15114.735908127004</v>
      </c>
    </row>
    <row r="37" spans="1:86" x14ac:dyDescent="0.25">
      <c r="A37" s="1"/>
      <c r="B37" s="14" t="s">
        <v>18</v>
      </c>
      <c r="C37" s="15">
        <f>C36/C12</f>
        <v>-4.5676335363136105E-3</v>
      </c>
      <c r="D37" s="15">
        <f t="shared" ref="D37:H37" si="20">D36/D12</f>
        <v>1.7586732964176744E-3</v>
      </c>
      <c r="E37" s="15">
        <f t="shared" si="20"/>
        <v>-1.8571965008791182E-4</v>
      </c>
      <c r="F37" s="15">
        <f t="shared" si="20"/>
        <v>-2.2223965278322483E-4</v>
      </c>
      <c r="G37" s="15">
        <f t="shared" si="20"/>
        <v>2.2690152000333485E-3</v>
      </c>
      <c r="H37" s="15">
        <f t="shared" si="20"/>
        <v>7.9252889360086915E-3</v>
      </c>
      <c r="I37" s="76">
        <f>AVERAGE(C37:H37)</f>
        <v>1.1628974322124945E-3</v>
      </c>
      <c r="J37" s="77">
        <f t="shared" ref="J37:R37" si="21">AVERAGE(D37:I37)</f>
        <v>2.117985926966845E-3</v>
      </c>
      <c r="K37" s="77">
        <f t="shared" si="21"/>
        <v>2.177871365391707E-3</v>
      </c>
      <c r="L37" s="77">
        <f t="shared" si="21"/>
        <v>2.5718032013049767E-3</v>
      </c>
      <c r="M37" s="77">
        <f t="shared" si="21"/>
        <v>3.0374770103196772E-3</v>
      </c>
      <c r="N37" s="77">
        <f t="shared" si="21"/>
        <v>3.1655539787007318E-3</v>
      </c>
      <c r="O37" s="77">
        <f t="shared" si="21"/>
        <v>2.3722648191494057E-3</v>
      </c>
      <c r="P37" s="77">
        <f t="shared" si="21"/>
        <v>2.5738260503055574E-3</v>
      </c>
      <c r="Q37" s="77">
        <f t="shared" si="21"/>
        <v>2.6497994041953421E-3</v>
      </c>
      <c r="R37" s="77">
        <f t="shared" si="21"/>
        <v>2.7284540773292818E-3</v>
      </c>
    </row>
    <row r="38" spans="1:86" x14ac:dyDescent="0.25">
      <c r="A38" s="1"/>
      <c r="B38" s="1"/>
      <c r="C38" s="20"/>
      <c r="D38" s="20"/>
      <c r="E38" s="20"/>
      <c r="F38" s="20"/>
      <c r="G38" s="20"/>
      <c r="H38" s="20"/>
      <c r="I38" s="78"/>
      <c r="J38" s="79"/>
      <c r="K38" s="79"/>
      <c r="L38" s="79"/>
      <c r="M38" s="79"/>
      <c r="N38" s="79"/>
      <c r="O38" s="79"/>
      <c r="P38" s="79"/>
      <c r="Q38" s="79"/>
      <c r="R38" s="79"/>
    </row>
    <row r="39" spans="1:86" x14ac:dyDescent="0.25">
      <c r="A39" s="1"/>
      <c r="B39" s="1" t="s">
        <v>16</v>
      </c>
      <c r="C39" s="12">
        <v>127732</v>
      </c>
      <c r="D39" s="12">
        <v>174711</v>
      </c>
      <c r="E39" s="12">
        <v>226087</v>
      </c>
      <c r="F39" s="12">
        <v>185936</v>
      </c>
      <c r="G39" s="12">
        <v>255962</v>
      </c>
      <c r="H39" s="12">
        <v>389578</v>
      </c>
      <c r="I39" s="82">
        <f>I35+I36</f>
        <v>480446.55460908334</v>
      </c>
      <c r="J39" s="83">
        <f t="shared" ref="J39:R39" si="22">J35+J36</f>
        <v>575290.23086882138</v>
      </c>
      <c r="K39" s="83">
        <f t="shared" si="22"/>
        <v>731559.3422725175</v>
      </c>
      <c r="L39" s="83">
        <f t="shared" si="22"/>
        <v>891566.79321975796</v>
      </c>
      <c r="M39" s="83">
        <f t="shared" si="22"/>
        <v>1102354.798444364</v>
      </c>
      <c r="N39" s="83">
        <f t="shared" si="22"/>
        <v>1274097.5831018311</v>
      </c>
      <c r="O39" s="83">
        <f t="shared" si="22"/>
        <v>1435920.0084067031</v>
      </c>
      <c r="P39" s="83">
        <f t="shared" si="22"/>
        <v>1768665.1702683864</v>
      </c>
      <c r="Q39" s="83">
        <f t="shared" si="22"/>
        <v>2029313.8212650877</v>
      </c>
      <c r="R39" s="83">
        <f t="shared" si="22"/>
        <v>2297458.8830538336</v>
      </c>
    </row>
    <row r="40" spans="1:86" x14ac:dyDescent="0.25">
      <c r="A40" s="1"/>
      <c r="B40" s="1"/>
      <c r="C40" s="20"/>
      <c r="D40" s="20"/>
      <c r="E40" s="20"/>
      <c r="F40" s="20"/>
      <c r="G40" s="20"/>
      <c r="H40" s="20"/>
      <c r="I40" s="78"/>
      <c r="J40" s="79"/>
      <c r="K40" s="79"/>
      <c r="L40" s="79"/>
      <c r="M40" s="79"/>
      <c r="N40" s="79"/>
      <c r="O40" s="79"/>
      <c r="P40" s="79"/>
      <c r="Q40" s="79"/>
      <c r="R40" s="79"/>
    </row>
    <row r="41" spans="1:86" x14ac:dyDescent="0.25">
      <c r="A41" s="1"/>
      <c r="B41" s="1" t="s">
        <v>17</v>
      </c>
      <c r="C41" s="12">
        <f>C35</f>
        <v>129710</v>
      </c>
      <c r="D41" s="12">
        <f>D35</f>
        <v>173715</v>
      </c>
      <c r="E41" s="12">
        <f>E35</f>
        <v>226224</v>
      </c>
      <c r="F41" s="12">
        <f>F35</f>
        <v>186123</v>
      </c>
      <c r="G41" s="12">
        <f>G35</f>
        <v>253567</v>
      </c>
      <c r="H41" s="12">
        <f>H35</f>
        <v>378679</v>
      </c>
      <c r="I41" s="82">
        <f t="shared" ref="I41:R41" si="23">I35</f>
        <v>478458</v>
      </c>
      <c r="J41" s="83">
        <f t="shared" si="23"/>
        <v>570906</v>
      </c>
      <c r="K41" s="83">
        <f t="shared" si="23"/>
        <v>726180</v>
      </c>
      <c r="L41" s="83">
        <f t="shared" si="23"/>
        <v>884159.99999999965</v>
      </c>
      <c r="M41" s="83">
        <f t="shared" si="23"/>
        <v>1092239.9999999995</v>
      </c>
      <c r="N41" s="83">
        <f t="shared" si="23"/>
        <v>1262479.9999999995</v>
      </c>
      <c r="O41" s="83">
        <f t="shared" si="23"/>
        <v>1426169.9999999991</v>
      </c>
      <c r="P41" s="83">
        <f t="shared" si="23"/>
        <v>1756979.9999999991</v>
      </c>
      <c r="Q41" s="83">
        <f t="shared" si="23"/>
        <v>2016025.1094890505</v>
      </c>
      <c r="R41" s="83">
        <f t="shared" si="23"/>
        <v>2282344.1471457067</v>
      </c>
    </row>
    <row r="42" spans="1:86" x14ac:dyDescent="0.25">
      <c r="A42" s="1"/>
      <c r="B42" s="67" t="s">
        <v>18</v>
      </c>
      <c r="C42" s="68">
        <f>C41/C12</f>
        <v>0.29952868857191023</v>
      </c>
      <c r="D42" s="68">
        <f>D41/D12</f>
        <v>0.30673487117188381</v>
      </c>
      <c r="E42" s="68">
        <f>E41/E12</f>
        <v>0.30667330015684496</v>
      </c>
      <c r="F42" s="68">
        <f>F41/F12</f>
        <v>0.22119738446509174</v>
      </c>
      <c r="G42" s="68">
        <f>G41/G12</f>
        <v>0.24022854999033655</v>
      </c>
      <c r="H42" s="68">
        <f>H41/H12</f>
        <v>0.27535925213311635</v>
      </c>
      <c r="I42" s="88">
        <f>I41/I12</f>
        <v>0.27979999999999999</v>
      </c>
      <c r="J42" s="89">
        <f t="shared" ref="J42:R42" si="24">J41/J12</f>
        <v>0.27579999999999999</v>
      </c>
      <c r="K42" s="89">
        <f t="shared" si="24"/>
        <v>0.29399999999999998</v>
      </c>
      <c r="L42" s="89">
        <f t="shared" si="24"/>
        <v>0.30699999999999994</v>
      </c>
      <c r="M42" s="89">
        <f t="shared" si="24"/>
        <v>0.3279999999999999</v>
      </c>
      <c r="N42" s="89">
        <f t="shared" si="24"/>
        <v>0.34399999999999997</v>
      </c>
      <c r="O42" s="89">
        <f t="shared" si="24"/>
        <v>0.34699999999999986</v>
      </c>
      <c r="P42" s="89">
        <f t="shared" si="24"/>
        <v>0.3869999999999999</v>
      </c>
      <c r="Q42" s="89">
        <f t="shared" si="24"/>
        <v>0.40199999999999997</v>
      </c>
      <c r="R42" s="89">
        <f t="shared" si="24"/>
        <v>0.41200000000000003</v>
      </c>
    </row>
    <row r="43" spans="1:86" x14ac:dyDescent="0.25">
      <c r="A43" s="1"/>
      <c r="B43" s="14"/>
      <c r="C43" s="1"/>
      <c r="D43" s="1"/>
      <c r="F43" s="1"/>
      <c r="G43" s="1"/>
      <c r="H43" s="1"/>
      <c r="I43" s="78"/>
      <c r="J43" s="79"/>
      <c r="K43" s="79"/>
      <c r="L43" s="79"/>
      <c r="M43" s="79"/>
      <c r="N43" s="79"/>
      <c r="O43" s="79"/>
      <c r="P43" s="79"/>
      <c r="Q43" s="79"/>
      <c r="R43" s="79"/>
    </row>
    <row r="44" spans="1:86" x14ac:dyDescent="0.25">
      <c r="A44" s="1"/>
      <c r="B44" s="1" t="s">
        <v>19</v>
      </c>
      <c r="C44" s="12">
        <v>4246</v>
      </c>
      <c r="D44" s="12">
        <v>37646</v>
      </c>
      <c r="E44" s="21">
        <v>45511</v>
      </c>
      <c r="F44" s="12">
        <v>42483</v>
      </c>
      <c r="G44" s="12">
        <v>60002</v>
      </c>
      <c r="H44" s="19">
        <v>108189</v>
      </c>
      <c r="I44" s="74">
        <f>I45*I41</f>
        <v>125738.76239999999</v>
      </c>
      <c r="J44" s="75">
        <f>J45*J41</f>
        <v>150034.0968</v>
      </c>
      <c r="K44" s="75">
        <f t="shared" ref="J44:R44" si="25">K45*K41</f>
        <v>190840.10399999999</v>
      </c>
      <c r="L44" s="75">
        <f t="shared" si="25"/>
        <v>232357.24799999988</v>
      </c>
      <c r="M44" s="75">
        <f t="shared" si="25"/>
        <v>287040.67199999985</v>
      </c>
      <c r="N44" s="75">
        <f t="shared" si="25"/>
        <v>331779.74399999983</v>
      </c>
      <c r="O44" s="75">
        <f t="shared" si="25"/>
        <v>374797.47599999973</v>
      </c>
      <c r="P44" s="75">
        <f t="shared" si="25"/>
        <v>461734.34399999969</v>
      </c>
      <c r="Q44" s="75">
        <f t="shared" si="25"/>
        <v>529811.39877372247</v>
      </c>
      <c r="R44" s="75">
        <f t="shared" si="25"/>
        <v>599800.04186989169</v>
      </c>
    </row>
    <row r="45" spans="1:86" x14ac:dyDescent="0.25">
      <c r="A45" s="1"/>
      <c r="B45" s="67" t="s">
        <v>20</v>
      </c>
      <c r="C45" s="69">
        <f>C44/C41</f>
        <v>3.2734561714594095E-2</v>
      </c>
      <c r="D45" s="69">
        <f t="shared" ref="D45:G45" si="26">D44/D41</f>
        <v>0.21671127997006592</v>
      </c>
      <c r="E45" s="69">
        <f t="shared" si="26"/>
        <v>0.20117670980974608</v>
      </c>
      <c r="F45" s="69">
        <f>F44/F41</f>
        <v>0.22825228477942006</v>
      </c>
      <c r="G45" s="69">
        <f t="shared" si="26"/>
        <v>0.23663173835712059</v>
      </c>
      <c r="H45" s="69">
        <f>H44/H41</f>
        <v>0.2857010819189868</v>
      </c>
      <c r="I45" s="94">
        <v>0.26279999999999998</v>
      </c>
      <c r="J45" s="95">
        <v>0.26279999999999998</v>
      </c>
      <c r="K45" s="95">
        <v>0.26279999999999998</v>
      </c>
      <c r="L45" s="95">
        <v>0.26279999999999998</v>
      </c>
      <c r="M45" s="95">
        <v>0.26279999999999998</v>
      </c>
      <c r="N45" s="95">
        <v>0.26279999999999998</v>
      </c>
      <c r="O45" s="95">
        <v>0.26279999999999998</v>
      </c>
      <c r="P45" s="95">
        <v>0.26279999999999998</v>
      </c>
      <c r="Q45" s="95">
        <v>0.26279999999999998</v>
      </c>
      <c r="R45" s="95">
        <v>0.26279999999999998</v>
      </c>
    </row>
    <row r="46" spans="1:86" x14ac:dyDescent="0.25">
      <c r="A46" s="1"/>
      <c r="B46" s="1"/>
      <c r="C46" s="1"/>
      <c r="D46" s="1"/>
      <c r="E46" s="1"/>
      <c r="F46" s="1"/>
      <c r="G46" s="1"/>
      <c r="H46" s="1"/>
      <c r="I46" s="78"/>
      <c r="J46" s="79"/>
      <c r="K46" s="79"/>
      <c r="L46" s="79"/>
      <c r="M46" s="79"/>
      <c r="N46" s="79"/>
      <c r="O46" s="79"/>
      <c r="P46" s="79"/>
      <c r="Q46" s="79"/>
      <c r="R46" s="79"/>
    </row>
    <row r="47" spans="1:86" x14ac:dyDescent="0.25">
      <c r="A47" s="1"/>
      <c r="B47" s="10" t="s">
        <v>21</v>
      </c>
      <c r="C47" s="10">
        <v>2017</v>
      </c>
      <c r="D47" s="10">
        <f>C47+1</f>
        <v>2018</v>
      </c>
      <c r="E47" s="10">
        <f>D47+1</f>
        <v>2019</v>
      </c>
      <c r="F47" s="10">
        <v>2020</v>
      </c>
      <c r="G47" s="10">
        <v>2021</v>
      </c>
      <c r="H47" s="10">
        <v>2022</v>
      </c>
      <c r="I47" s="86">
        <v>2023</v>
      </c>
      <c r="J47" s="87">
        <v>2024</v>
      </c>
      <c r="K47" s="87">
        <v>2025</v>
      </c>
      <c r="L47" s="87">
        <v>2026</v>
      </c>
      <c r="M47" s="87">
        <v>2027</v>
      </c>
      <c r="N47" s="87">
        <v>2028</v>
      </c>
      <c r="O47" s="87">
        <v>2029</v>
      </c>
      <c r="P47" s="87">
        <v>2030</v>
      </c>
      <c r="Q47" s="87">
        <v>2031</v>
      </c>
      <c r="R47" s="87">
        <v>2032</v>
      </c>
      <c r="S47" s="10">
        <v>2033</v>
      </c>
      <c r="T47" s="10">
        <v>2034</v>
      </c>
      <c r="U47" s="10">
        <v>2035</v>
      </c>
      <c r="V47" s="10">
        <v>2036</v>
      </c>
      <c r="W47" s="10">
        <v>2037</v>
      </c>
      <c r="X47" s="10">
        <v>2038</v>
      </c>
      <c r="Y47" s="10">
        <v>2039</v>
      </c>
      <c r="Z47" s="10">
        <v>2040</v>
      </c>
      <c r="AA47" s="10">
        <v>2041</v>
      </c>
      <c r="AB47" s="10">
        <v>2042</v>
      </c>
      <c r="AC47" s="10">
        <v>2043</v>
      </c>
      <c r="AD47" s="10">
        <v>2044</v>
      </c>
      <c r="AE47" s="10">
        <v>2045</v>
      </c>
      <c r="AF47" s="10">
        <v>2046</v>
      </c>
      <c r="AG47" s="10">
        <v>2047</v>
      </c>
      <c r="AH47" s="10">
        <v>2048</v>
      </c>
      <c r="AI47" s="10">
        <v>2049</v>
      </c>
      <c r="AJ47" s="10">
        <v>2050</v>
      </c>
      <c r="AK47" s="10">
        <v>2051</v>
      </c>
      <c r="AL47" s="10">
        <v>2052</v>
      </c>
      <c r="AM47" s="10">
        <v>2053</v>
      </c>
      <c r="AN47" s="10">
        <v>2054</v>
      </c>
      <c r="AO47" s="10">
        <v>2055</v>
      </c>
      <c r="AP47" s="10">
        <v>2056</v>
      </c>
      <c r="AQ47" s="10">
        <v>2057</v>
      </c>
      <c r="AR47" s="10">
        <v>2058</v>
      </c>
      <c r="AS47" s="10">
        <v>2059</v>
      </c>
      <c r="AT47" s="10">
        <v>2060</v>
      </c>
      <c r="AU47" s="10">
        <v>2061</v>
      </c>
      <c r="AV47" s="10">
        <v>2062</v>
      </c>
      <c r="AW47" s="10">
        <v>2063</v>
      </c>
      <c r="AX47" s="10">
        <v>2064</v>
      </c>
      <c r="AY47" s="10">
        <v>2065</v>
      </c>
      <c r="AZ47" s="10">
        <v>2066</v>
      </c>
      <c r="BA47" s="10">
        <v>2067</v>
      </c>
      <c r="BB47" s="10">
        <v>2068</v>
      </c>
      <c r="BC47" s="10">
        <v>2069</v>
      </c>
      <c r="BD47" s="10">
        <v>2070</v>
      </c>
      <c r="BE47" s="10">
        <v>2071</v>
      </c>
      <c r="BF47" s="10">
        <v>2072</v>
      </c>
      <c r="BG47" s="10">
        <v>2073</v>
      </c>
      <c r="BH47" s="10">
        <v>2074</v>
      </c>
      <c r="BI47" s="10">
        <v>2075</v>
      </c>
      <c r="BJ47" s="10">
        <v>2076</v>
      </c>
      <c r="BK47" s="10">
        <v>2077</v>
      </c>
      <c r="BL47" s="10">
        <v>2078</v>
      </c>
      <c r="BM47" s="10">
        <v>2079</v>
      </c>
      <c r="BN47" s="10">
        <v>2080</v>
      </c>
      <c r="BO47" s="10">
        <v>2081</v>
      </c>
      <c r="BP47" s="10">
        <v>2082</v>
      </c>
      <c r="BQ47" s="10">
        <v>2083</v>
      </c>
      <c r="BR47" s="10">
        <v>2084</v>
      </c>
      <c r="BS47" s="10">
        <v>2085</v>
      </c>
      <c r="BT47" s="10">
        <v>2086</v>
      </c>
      <c r="BU47" s="10">
        <v>2087</v>
      </c>
      <c r="BV47" s="10">
        <v>2088</v>
      </c>
      <c r="BW47" s="10">
        <v>2089</v>
      </c>
      <c r="BX47" s="10">
        <v>2090</v>
      </c>
      <c r="BY47" s="10">
        <v>2091</v>
      </c>
      <c r="BZ47" s="10">
        <v>2092</v>
      </c>
      <c r="CA47" s="10">
        <v>2093</v>
      </c>
      <c r="CB47" s="10">
        <v>2094</v>
      </c>
      <c r="CC47" s="10">
        <v>2095</v>
      </c>
      <c r="CD47" s="10">
        <v>2096</v>
      </c>
      <c r="CE47" s="10">
        <v>2097</v>
      </c>
      <c r="CF47" s="10">
        <v>2098</v>
      </c>
      <c r="CG47" s="10">
        <v>2099</v>
      </c>
      <c r="CH47" s="10">
        <v>2100</v>
      </c>
    </row>
    <row r="48" spans="1:86" x14ac:dyDescent="0.25">
      <c r="A48" s="1"/>
      <c r="B48" s="1" t="s">
        <v>22</v>
      </c>
      <c r="C48" s="12">
        <v>19395</v>
      </c>
      <c r="D48" s="12">
        <v>29657</v>
      </c>
      <c r="E48" s="21">
        <v>42211</v>
      </c>
      <c r="F48" s="12">
        <v>53373</v>
      </c>
      <c r="G48" s="12">
        <v>67222</v>
      </c>
      <c r="H48" s="12">
        <v>92699</v>
      </c>
      <c r="I48" s="74">
        <f>I49*I12</f>
        <v>109670.00000000001</v>
      </c>
      <c r="J48" s="75">
        <f t="shared" ref="J48:R48" si="27">J49*J12</f>
        <v>132950</v>
      </c>
      <c r="K48" s="75">
        <f t="shared" si="27"/>
        <v>176540</v>
      </c>
      <c r="L48" s="75">
        <f t="shared" si="27"/>
        <v>223540</v>
      </c>
      <c r="M48" s="75">
        <f t="shared" si="27"/>
        <v>248320</v>
      </c>
      <c r="N48" s="75">
        <f t="shared" si="27"/>
        <v>213000</v>
      </c>
      <c r="O48" s="75">
        <f t="shared" si="27"/>
        <v>230000</v>
      </c>
      <c r="P48" s="75">
        <f t="shared" si="27"/>
        <v>245000</v>
      </c>
      <c r="Q48" s="75">
        <f t="shared" si="27"/>
        <v>270666.34952254943</v>
      </c>
      <c r="R48" s="75">
        <f t="shared" si="27"/>
        <v>288277.98634887801</v>
      </c>
    </row>
    <row r="49" spans="1:86" x14ac:dyDescent="0.25">
      <c r="A49" s="1"/>
      <c r="B49" s="67" t="s">
        <v>18</v>
      </c>
      <c r="C49" s="68">
        <f>C48/C12</f>
        <v>4.4787286368454235E-2</v>
      </c>
      <c r="D49" s="68">
        <f>D48/D12</f>
        <v>5.2366439710701776E-2</v>
      </c>
      <c r="E49" s="68">
        <f>E48/E12</f>
        <v>5.7221986495334644E-2</v>
      </c>
      <c r="F49" s="68">
        <f>F48/F12</f>
        <v>6.3430999935823837E-2</v>
      </c>
      <c r="G49" s="68">
        <f>G48/G12</f>
        <v>6.3685903873336849E-2</v>
      </c>
      <c r="H49" s="68">
        <f>H48/H12</f>
        <v>6.7406767508860418E-2</v>
      </c>
      <c r="I49" s="88">
        <v>6.4134502923976613E-2</v>
      </c>
      <c r="J49" s="89">
        <v>6.4227053140096621E-2</v>
      </c>
      <c r="K49" s="89">
        <v>7.1473684210526314E-2</v>
      </c>
      <c r="L49" s="89">
        <v>7.7618055555555565E-2</v>
      </c>
      <c r="M49" s="89">
        <v>7.457057057057058E-2</v>
      </c>
      <c r="N49" s="89">
        <v>5.8038147138964595E-2</v>
      </c>
      <c r="O49" s="89">
        <v>5.5961070559610721E-2</v>
      </c>
      <c r="P49" s="89">
        <v>5.3964757709251111E-2</v>
      </c>
      <c r="Q49" s="89">
        <v>5.3971486761710805E-2</v>
      </c>
      <c r="R49" s="89">
        <v>5.2038834951456309E-2</v>
      </c>
    </row>
    <row r="50" spans="1:86" x14ac:dyDescent="0.25">
      <c r="A50" s="1"/>
      <c r="B50" s="1"/>
      <c r="C50" s="1"/>
      <c r="D50" s="1"/>
      <c r="F50" s="1"/>
      <c r="G50" s="1"/>
      <c r="H50" s="1"/>
      <c r="I50" s="78"/>
      <c r="J50" s="79"/>
      <c r="K50" s="79"/>
      <c r="L50" s="79"/>
      <c r="M50" s="79"/>
      <c r="N50" s="79"/>
      <c r="O50" s="79"/>
      <c r="P50" s="79"/>
      <c r="Q50" s="79"/>
      <c r="R50" s="79"/>
    </row>
    <row r="51" spans="1:86" x14ac:dyDescent="0.25">
      <c r="A51" s="1"/>
      <c r="B51" s="1" t="s">
        <v>23</v>
      </c>
      <c r="C51" s="12">
        <v>-59389</v>
      </c>
      <c r="D51" s="12">
        <v>-59906</v>
      </c>
      <c r="E51" s="21">
        <v>-92934</v>
      </c>
      <c r="F51" s="12">
        <v>-94102</v>
      </c>
      <c r="G51" s="12">
        <v>-120692</v>
      </c>
      <c r="H51" s="12">
        <v>-132678</v>
      </c>
      <c r="I51" s="74">
        <f>I52*I12</f>
        <v>-184090</v>
      </c>
      <c r="J51" s="75">
        <f t="shared" ref="J51:R51" si="28">J52*J12</f>
        <v>-183780</v>
      </c>
      <c r="K51" s="75">
        <f t="shared" si="28"/>
        <v>-214690</v>
      </c>
      <c r="L51" s="75">
        <f t="shared" si="28"/>
        <v>-228440</v>
      </c>
      <c r="M51" s="75">
        <f t="shared" si="28"/>
        <v>-230760</v>
      </c>
      <c r="N51" s="75">
        <f t="shared" si="28"/>
        <v>-242000</v>
      </c>
      <c r="O51" s="75">
        <f t="shared" si="28"/>
        <v>-251000</v>
      </c>
      <c r="P51" s="75">
        <f t="shared" si="28"/>
        <v>-255000</v>
      </c>
      <c r="Q51" s="75">
        <f t="shared" si="28"/>
        <v>-255345.61275712209</v>
      </c>
      <c r="R51" s="75">
        <f t="shared" si="28"/>
        <v>-332380.21560374368</v>
      </c>
    </row>
    <row r="52" spans="1:86" x14ac:dyDescent="0.25">
      <c r="A52" s="1"/>
      <c r="B52" s="67" t="s">
        <v>18</v>
      </c>
      <c r="C52" s="68">
        <f>C51/C12</f>
        <v>-0.13714215777964053</v>
      </c>
      <c r="D52" s="68">
        <f>D51/D12</f>
        <v>-0.1057781952763024</v>
      </c>
      <c r="E52" s="68">
        <f>E51/E12</f>
        <v>-0.12598299241802918</v>
      </c>
      <c r="F52" s="68">
        <f>F51/F12</f>
        <v>-0.11183527169094665</v>
      </c>
      <c r="G52" s="68">
        <f>G51/G12</f>
        <v>-0.1143432077337891</v>
      </c>
      <c r="H52" s="68">
        <f>H51/H12</f>
        <v>-9.6477794793261865E-2</v>
      </c>
      <c r="I52" s="88">
        <v>-0.10765497076023392</v>
      </c>
      <c r="J52" s="89">
        <v>-8.8782608695652174E-2</v>
      </c>
      <c r="K52" s="89">
        <v>-8.6919028340080973E-2</v>
      </c>
      <c r="L52" s="89">
        <v>-7.9319444444444456E-2</v>
      </c>
      <c r="M52" s="89">
        <v>-6.9297297297297306E-2</v>
      </c>
      <c r="N52" s="89">
        <v>-6.5940054495912823E-2</v>
      </c>
      <c r="O52" s="89">
        <v>-6.1070559610705608E-2</v>
      </c>
      <c r="P52" s="89">
        <v>-5.6167400881057282E-2</v>
      </c>
      <c r="Q52" s="89">
        <v>-5.0916496945010194E-2</v>
      </c>
      <c r="R52" s="89">
        <v>-0.06</v>
      </c>
    </row>
    <row r="53" spans="1:86" x14ac:dyDescent="0.25">
      <c r="A53" s="1"/>
      <c r="B53" s="1"/>
      <c r="C53" s="1"/>
      <c r="D53" s="1"/>
      <c r="F53" s="1"/>
      <c r="G53" s="1"/>
      <c r="H53" s="1"/>
      <c r="I53" s="78"/>
      <c r="J53" s="79"/>
      <c r="K53" s="79"/>
      <c r="L53" s="79"/>
      <c r="M53" s="79"/>
      <c r="N53" s="79"/>
      <c r="O53" s="79"/>
      <c r="P53" s="79"/>
      <c r="Q53" s="79"/>
      <c r="R53" s="79"/>
    </row>
    <row r="54" spans="1:86" x14ac:dyDescent="0.25">
      <c r="A54" s="1"/>
      <c r="B54" s="1" t="s">
        <v>24</v>
      </c>
      <c r="C54" s="1">
        <v>-42386</v>
      </c>
      <c r="D54" s="1">
        <v>-37811</v>
      </c>
      <c r="E54" s="2">
        <v>-67273</v>
      </c>
      <c r="F54" s="35">
        <v>-80961</v>
      </c>
      <c r="G54" s="35">
        <v>-73610</v>
      </c>
      <c r="H54" s="35">
        <v>-100524</v>
      </c>
      <c r="I54" s="74">
        <f>I55*I12</f>
        <v>-116280.00000000001</v>
      </c>
      <c r="J54" s="75">
        <f>J55*J12</f>
        <v>-120060</v>
      </c>
      <c r="K54" s="75">
        <f>K55*K12</f>
        <v>-118560</v>
      </c>
      <c r="L54" s="75">
        <f>L55*L12</f>
        <v>-109439.99999999999</v>
      </c>
      <c r="M54" s="75">
        <f>M55*M12</f>
        <v>-93239.999999999971</v>
      </c>
      <c r="N54" s="75">
        <f>N55*N12</f>
        <v>-66059.999999999971</v>
      </c>
      <c r="O54" s="75">
        <f>O55*O12</f>
        <v>-32879.999999999971</v>
      </c>
      <c r="P54" s="75">
        <f>P55*P12</f>
        <v>9080.0000000000218</v>
      </c>
      <c r="Q54" s="75">
        <f>Q55*Q12</f>
        <v>60179.854014598546</v>
      </c>
      <c r="R54" s="75">
        <f>R55*R12</f>
        <v>121872.74572137272</v>
      </c>
    </row>
    <row r="55" spans="1:86" x14ac:dyDescent="0.25">
      <c r="A55" s="1"/>
      <c r="B55" s="67" t="s">
        <v>18</v>
      </c>
      <c r="C55" s="68">
        <f>C54/C12</f>
        <v>-9.7878521269053942E-2</v>
      </c>
      <c r="D55" s="68">
        <f>D54/D12</f>
        <v>-6.6764253022940451E-2</v>
      </c>
      <c r="E55" s="68">
        <f>E54/E12</f>
        <v>-9.1196481900467821E-2</v>
      </c>
      <c r="F55" s="68">
        <f>F54/F12</f>
        <v>-9.6217885181725485E-2</v>
      </c>
      <c r="G55" s="68">
        <f>G54/G12</f>
        <v>-6.9737874269083414E-2</v>
      </c>
      <c r="H55" s="68">
        <f>H54/H12</f>
        <v>-7.3096774475028686E-2</v>
      </c>
      <c r="I55" s="90">
        <v>-6.8000000000000005E-2</v>
      </c>
      <c r="J55" s="91">
        <f>I55+1%</f>
        <v>-5.8000000000000003E-2</v>
      </c>
      <c r="K55" s="91">
        <f t="shared" ref="K55:R55" si="29">J55+1%</f>
        <v>-4.8000000000000001E-2</v>
      </c>
      <c r="L55" s="91">
        <f t="shared" si="29"/>
        <v>-3.7999999999999999E-2</v>
      </c>
      <c r="M55" s="91">
        <f t="shared" si="29"/>
        <v>-2.7999999999999997E-2</v>
      </c>
      <c r="N55" s="91">
        <f t="shared" si="29"/>
        <v>-1.7999999999999995E-2</v>
      </c>
      <c r="O55" s="91">
        <f t="shared" si="29"/>
        <v>-7.999999999999995E-3</v>
      </c>
      <c r="P55" s="91">
        <f t="shared" si="29"/>
        <v>2.0000000000000052E-3</v>
      </c>
      <c r="Q55" s="91">
        <f t="shared" si="29"/>
        <v>1.2000000000000005E-2</v>
      </c>
      <c r="R55" s="91">
        <f t="shared" si="29"/>
        <v>2.2000000000000006E-2</v>
      </c>
    </row>
    <row r="56" spans="1:86" x14ac:dyDescent="0.25">
      <c r="A56" s="1"/>
      <c r="B56" s="1"/>
      <c r="C56" s="1"/>
      <c r="D56" s="1"/>
      <c r="E56" s="1"/>
      <c r="F56" s="1"/>
      <c r="G56" s="1"/>
      <c r="H56" s="1"/>
      <c r="I56" s="78"/>
      <c r="J56" s="79"/>
      <c r="K56" s="79"/>
      <c r="L56" s="79"/>
      <c r="M56" s="79"/>
      <c r="N56" s="79"/>
      <c r="O56" s="79"/>
      <c r="P56" s="79"/>
      <c r="Q56" s="79"/>
      <c r="R56" s="79"/>
    </row>
    <row r="57" spans="1:86" x14ac:dyDescent="0.25">
      <c r="A57" s="1"/>
      <c r="B57" s="10" t="s">
        <v>25</v>
      </c>
      <c r="C57" s="12">
        <f t="shared" ref="C57:G57" si="30">C41-C44</f>
        <v>125464</v>
      </c>
      <c r="D57" s="12">
        <f t="shared" si="30"/>
        <v>136069</v>
      </c>
      <c r="E57" s="12">
        <f t="shared" si="30"/>
        <v>180713</v>
      </c>
      <c r="F57" s="12">
        <f t="shared" si="30"/>
        <v>143640</v>
      </c>
      <c r="G57" s="12">
        <f t="shared" si="30"/>
        <v>193565</v>
      </c>
      <c r="H57" s="12">
        <f>H41-H44</f>
        <v>270490</v>
      </c>
      <c r="I57" s="82">
        <f t="shared" ref="I57:R57" si="31">I41-I44</f>
        <v>352719.23759999999</v>
      </c>
      <c r="J57" s="83">
        <f t="shared" si="31"/>
        <v>420871.9032</v>
      </c>
      <c r="K57" s="83">
        <f t="shared" si="31"/>
        <v>535339.89599999995</v>
      </c>
      <c r="L57" s="83">
        <f t="shared" si="31"/>
        <v>651802.75199999975</v>
      </c>
      <c r="M57" s="83">
        <f t="shared" si="31"/>
        <v>805199.32799999975</v>
      </c>
      <c r="N57" s="83">
        <f t="shared" si="31"/>
        <v>930700.2559999997</v>
      </c>
      <c r="O57" s="83">
        <f t="shared" si="31"/>
        <v>1051372.5239999993</v>
      </c>
      <c r="P57" s="83">
        <f t="shared" si="31"/>
        <v>1295245.6559999995</v>
      </c>
      <c r="Q57" s="83">
        <f t="shared" si="31"/>
        <v>1486213.7107153279</v>
      </c>
      <c r="R57" s="83">
        <f t="shared" si="31"/>
        <v>1682544.1052758149</v>
      </c>
    </row>
    <row r="58" spans="1:86" x14ac:dyDescent="0.25">
      <c r="A58" s="1"/>
      <c r="B58" s="10" t="s">
        <v>26</v>
      </c>
      <c r="C58" s="12">
        <f t="shared" ref="C58:G58" si="32">C39-C44</f>
        <v>123486</v>
      </c>
      <c r="D58" s="12">
        <f t="shared" si="32"/>
        <v>137065</v>
      </c>
      <c r="E58" s="12">
        <f t="shared" si="32"/>
        <v>180576</v>
      </c>
      <c r="F58" s="12">
        <f t="shared" si="32"/>
        <v>143453</v>
      </c>
      <c r="G58" s="12">
        <f t="shared" si="32"/>
        <v>195960</v>
      </c>
      <c r="H58" s="12">
        <f>H39-H44</f>
        <v>281389</v>
      </c>
      <c r="I58" s="82">
        <f t="shared" ref="I58:R58" si="33">I39-I44</f>
        <v>354707.79220908333</v>
      </c>
      <c r="J58" s="83">
        <f t="shared" si="33"/>
        <v>425256.13406882138</v>
      </c>
      <c r="K58" s="83">
        <f t="shared" si="33"/>
        <v>540719.23827251745</v>
      </c>
      <c r="L58" s="83">
        <f t="shared" si="33"/>
        <v>659209.54521975806</v>
      </c>
      <c r="M58" s="83">
        <f t="shared" si="33"/>
        <v>815314.1264443642</v>
      </c>
      <c r="N58" s="83">
        <f t="shared" si="33"/>
        <v>942317.83910183131</v>
      </c>
      <c r="O58" s="83">
        <f t="shared" si="33"/>
        <v>1061122.5324067033</v>
      </c>
      <c r="P58" s="83">
        <f t="shared" si="33"/>
        <v>1306930.8262683866</v>
      </c>
      <c r="Q58" s="83">
        <f t="shared" si="33"/>
        <v>1499502.4224913651</v>
      </c>
      <c r="R58" s="83">
        <f t="shared" si="33"/>
        <v>1697658.8411839418</v>
      </c>
      <c r="S58" s="60">
        <f>R58*(1+$E$7)</f>
        <v>1748588.6064194601</v>
      </c>
      <c r="T58" s="60">
        <f t="shared" ref="T58:CE58" si="34">S58*(1+$E$7)</f>
        <v>1801046.264612044</v>
      </c>
      <c r="U58" s="60">
        <f t="shared" si="34"/>
        <v>1855077.6525504054</v>
      </c>
      <c r="V58" s="60">
        <f t="shared" si="34"/>
        <v>1910729.9821269175</v>
      </c>
      <c r="W58" s="60">
        <f t="shared" si="34"/>
        <v>1968051.8815907249</v>
      </c>
      <c r="X58" s="60">
        <f t="shared" si="34"/>
        <v>2027093.4380384467</v>
      </c>
      <c r="Y58" s="60">
        <f t="shared" si="34"/>
        <v>2087906.2411796001</v>
      </c>
      <c r="Z58" s="60">
        <f t="shared" si="34"/>
        <v>2150543.4284149883</v>
      </c>
      <c r="AA58" s="60">
        <f t="shared" si="34"/>
        <v>2215059.7312674383</v>
      </c>
      <c r="AB58" s="60">
        <f t="shared" si="34"/>
        <v>2281511.5232054614</v>
      </c>
      <c r="AC58" s="60">
        <f t="shared" si="34"/>
        <v>2349956.8689016253</v>
      </c>
      <c r="AD58" s="60">
        <f t="shared" si="34"/>
        <v>2420455.5749686742</v>
      </c>
      <c r="AE58" s="60">
        <f t="shared" si="34"/>
        <v>2493069.2422177345</v>
      </c>
      <c r="AF58" s="60">
        <f t="shared" si="34"/>
        <v>2567861.3194842665</v>
      </c>
      <c r="AG58" s="60">
        <f t="shared" si="34"/>
        <v>2644897.1590687945</v>
      </c>
      <c r="AH58" s="60">
        <f t="shared" si="34"/>
        <v>2724244.0738408584</v>
      </c>
      <c r="AI58" s="60">
        <f t="shared" si="34"/>
        <v>2805971.3960560844</v>
      </c>
      <c r="AJ58" s="60">
        <f t="shared" si="34"/>
        <v>2890150.5379377669</v>
      </c>
      <c r="AK58" s="60">
        <f t="shared" si="34"/>
        <v>2976855.0540759</v>
      </c>
      <c r="AL58" s="60">
        <f t="shared" si="34"/>
        <v>3066160.7056981772</v>
      </c>
      <c r="AM58" s="60">
        <f t="shared" si="34"/>
        <v>3158145.5268691224</v>
      </c>
      <c r="AN58" s="60">
        <f t="shared" si="34"/>
        <v>3252889.8926751963</v>
      </c>
      <c r="AO58" s="60">
        <f t="shared" si="34"/>
        <v>3350476.5894554523</v>
      </c>
      <c r="AP58" s="60">
        <f t="shared" si="34"/>
        <v>3450990.8871391159</v>
      </c>
      <c r="AQ58" s="60">
        <f t="shared" si="34"/>
        <v>3554520.6137532894</v>
      </c>
      <c r="AR58" s="60">
        <f t="shared" si="34"/>
        <v>3661156.2321658884</v>
      </c>
      <c r="AS58" s="60">
        <f t="shared" si="34"/>
        <v>3770990.919130865</v>
      </c>
      <c r="AT58" s="60">
        <f t="shared" si="34"/>
        <v>3884120.6467047911</v>
      </c>
      <c r="AU58" s="60">
        <f t="shared" si="34"/>
        <v>4000644.266105935</v>
      </c>
      <c r="AV58" s="60">
        <f t="shared" si="34"/>
        <v>4120663.5940891132</v>
      </c>
      <c r="AW58" s="60">
        <f t="shared" si="34"/>
        <v>4244283.5019117864</v>
      </c>
      <c r="AX58" s="60">
        <f t="shared" si="34"/>
        <v>4371612.0069691399</v>
      </c>
      <c r="AY58" s="60">
        <f t="shared" si="34"/>
        <v>4502760.3671782138</v>
      </c>
      <c r="AZ58" s="60">
        <f t="shared" si="34"/>
        <v>4637843.1781935599</v>
      </c>
      <c r="BA58" s="60">
        <f t="shared" si="34"/>
        <v>4776978.4735393664</v>
      </c>
      <c r="BB58" s="60">
        <f t="shared" si="34"/>
        <v>4920287.8277455475</v>
      </c>
      <c r="BC58" s="60">
        <f t="shared" si="34"/>
        <v>5067896.4625779139</v>
      </c>
      <c r="BD58" s="60">
        <f t="shared" si="34"/>
        <v>5219933.3564552516</v>
      </c>
      <c r="BE58" s="60">
        <f t="shared" si="34"/>
        <v>5376531.357148909</v>
      </c>
      <c r="BF58" s="60">
        <f t="shared" si="34"/>
        <v>5537827.2978633763</v>
      </c>
      <c r="BG58" s="60">
        <f t="shared" si="34"/>
        <v>5703962.1167992782</v>
      </c>
      <c r="BH58" s="60">
        <f t="shared" si="34"/>
        <v>5875080.9803032568</v>
      </c>
      <c r="BI58" s="60">
        <f t="shared" si="34"/>
        <v>6051333.4097123547</v>
      </c>
      <c r="BJ58" s="60">
        <f t="shared" si="34"/>
        <v>6232873.4120037258</v>
      </c>
      <c r="BK58" s="60">
        <f t="shared" si="34"/>
        <v>6419859.614363838</v>
      </c>
      <c r="BL58" s="60">
        <f t="shared" si="34"/>
        <v>6612455.4027947532</v>
      </c>
      <c r="BM58" s="60">
        <f t="shared" si="34"/>
        <v>6810829.064878596</v>
      </c>
      <c r="BN58" s="60">
        <f t="shared" si="34"/>
        <v>7015153.9368249541</v>
      </c>
      <c r="BO58" s="60">
        <f t="shared" si="34"/>
        <v>7225608.5549297025</v>
      </c>
      <c r="BP58" s="60">
        <f t="shared" si="34"/>
        <v>7442376.8115775939</v>
      </c>
      <c r="BQ58" s="60">
        <f t="shared" si="34"/>
        <v>7665648.1159249218</v>
      </c>
      <c r="BR58" s="60">
        <f t="shared" si="34"/>
        <v>7895617.5594026698</v>
      </c>
      <c r="BS58" s="60">
        <f t="shared" si="34"/>
        <v>8132486.0861847503</v>
      </c>
      <c r="BT58" s="60">
        <f t="shared" si="34"/>
        <v>8376460.6687702928</v>
      </c>
      <c r="BU58" s="60">
        <f t="shared" si="34"/>
        <v>8627754.4888334014</v>
      </c>
      <c r="BV58" s="60">
        <f t="shared" si="34"/>
        <v>8886587.1234984044</v>
      </c>
      <c r="BW58" s="60">
        <f t="shared" si="34"/>
        <v>9153184.7372033559</v>
      </c>
      <c r="BX58" s="60">
        <f t="shared" si="34"/>
        <v>9427780.2793194577</v>
      </c>
      <c r="BY58" s="60">
        <f t="shared" si="34"/>
        <v>9710613.6876990423</v>
      </c>
      <c r="BZ58" s="60">
        <f t="shared" si="34"/>
        <v>10001932.098330013</v>
      </c>
      <c r="CA58" s="60">
        <f t="shared" si="34"/>
        <v>10301990.061279913</v>
      </c>
      <c r="CB58" s="60">
        <f t="shared" si="34"/>
        <v>10611049.763118312</v>
      </c>
      <c r="CC58" s="60">
        <f t="shared" si="34"/>
        <v>10929381.256011862</v>
      </c>
      <c r="CD58" s="60">
        <f t="shared" si="34"/>
        <v>11257262.693692219</v>
      </c>
      <c r="CE58" s="60">
        <f t="shared" si="34"/>
        <v>11594980.574502986</v>
      </c>
      <c r="CF58" s="60">
        <f t="shared" ref="CF58:CH58" si="35">CE58*(1+$E$7)</f>
        <v>11942829.991738075</v>
      </c>
      <c r="CG58" s="60">
        <f t="shared" si="35"/>
        <v>12301114.891490217</v>
      </c>
      <c r="CH58" s="60">
        <f t="shared" si="35"/>
        <v>12670148.338234924</v>
      </c>
    </row>
    <row r="59" spans="1:86" x14ac:dyDescent="0.25">
      <c r="A59" s="1"/>
      <c r="B59" s="6"/>
      <c r="C59" s="20"/>
      <c r="D59" s="20"/>
      <c r="E59" s="20"/>
      <c r="F59" s="20"/>
      <c r="G59" s="20"/>
      <c r="H59" s="20"/>
      <c r="I59" s="78"/>
      <c r="J59" s="79"/>
      <c r="K59" s="79"/>
      <c r="L59" s="79"/>
      <c r="M59" s="79"/>
      <c r="N59" s="79"/>
      <c r="O59" s="79"/>
      <c r="P59" s="79"/>
      <c r="Q59" s="79"/>
      <c r="R59" s="79"/>
    </row>
    <row r="60" spans="1:86" x14ac:dyDescent="0.25">
      <c r="A60" s="1"/>
      <c r="B60" s="10" t="s">
        <v>27</v>
      </c>
      <c r="C60" s="12">
        <f>C57+C48+C51-C54</f>
        <v>127856</v>
      </c>
      <c r="D60" s="12">
        <f t="shared" ref="D60:F60" si="36">D57+D48+D51-D54</f>
        <v>143631</v>
      </c>
      <c r="E60" s="12">
        <f t="shared" si="36"/>
        <v>197263</v>
      </c>
      <c r="F60" s="12">
        <f t="shared" si="36"/>
        <v>183872</v>
      </c>
      <c r="G60" s="12">
        <f>G57+G48+G51-G54</f>
        <v>213705</v>
      </c>
      <c r="H60" s="12">
        <f>H57+H48+H51-H54</f>
        <v>331035</v>
      </c>
      <c r="I60" s="82">
        <f>I57+I48+I51-I54</f>
        <v>394579.23759999999</v>
      </c>
      <c r="J60" s="96">
        <f t="shared" ref="J60:R60" si="37">J57+J48+J51-J54</f>
        <v>490101.90320000006</v>
      </c>
      <c r="K60" s="96">
        <f t="shared" si="37"/>
        <v>615749.89599999995</v>
      </c>
      <c r="L60" s="96">
        <f t="shared" si="37"/>
        <v>756342.75199999975</v>
      </c>
      <c r="M60" s="96">
        <f t="shared" si="37"/>
        <v>915999.32799999975</v>
      </c>
      <c r="N60" s="96">
        <f t="shared" si="37"/>
        <v>967760.25599999959</v>
      </c>
      <c r="O60" s="96">
        <f t="shared" si="37"/>
        <v>1063252.5239999993</v>
      </c>
      <c r="P60" s="96">
        <f t="shared" si="37"/>
        <v>1276165.6559999995</v>
      </c>
      <c r="Q60" s="96">
        <f t="shared" si="37"/>
        <v>1441354.5934661566</v>
      </c>
      <c r="R60" s="96">
        <f t="shared" si="37"/>
        <v>1516569.1302995766</v>
      </c>
    </row>
    <row r="61" spans="1:86" x14ac:dyDescent="0.25">
      <c r="A61" s="1"/>
      <c r="B61" s="22" t="s">
        <v>28</v>
      </c>
      <c r="C61" s="1"/>
      <c r="D61" s="1"/>
      <c r="E61" s="1"/>
      <c r="F61" s="1"/>
      <c r="G61" s="1"/>
      <c r="H61" s="1"/>
      <c r="I61" s="63">
        <f>I60/((1+$E$5)^I10)</f>
        <v>361745.76695326908</v>
      </c>
      <c r="J61" s="61">
        <f>J60/((1+$E$5)^J10)</f>
        <v>411931.35078364861</v>
      </c>
      <c r="K61" s="61">
        <f>K60/((1+$E$5)^K10)</f>
        <v>474473.57772262604</v>
      </c>
      <c r="L61" s="61">
        <f>L60/((1+$E$5)^L10)</f>
        <v>534312.78170342697</v>
      </c>
      <c r="M61" s="61">
        <f>M60/((1+$E$5)^M10)</f>
        <v>593254.85021076375</v>
      </c>
      <c r="N61" s="61">
        <f>N60/((1+$E$5)^N10)</f>
        <v>574623.19621252804</v>
      </c>
      <c r="O61" s="61">
        <f>O60/((1+$E$5)^O10)</f>
        <v>578790.00367708423</v>
      </c>
      <c r="P61" s="61">
        <f>P60/((1+$E$5)^P10)</f>
        <v>636884.7950745119</v>
      </c>
      <c r="Q61" s="61">
        <f>Q60/((1+$E$5)^Q10)</f>
        <v>659468.25240591832</v>
      </c>
      <c r="R61" s="61">
        <f>R60/((1+$E$5)^R10)</f>
        <v>636142.62497469166</v>
      </c>
    </row>
    <row r="62" spans="1:86" x14ac:dyDescent="0.25">
      <c r="A62" s="1"/>
      <c r="B62" s="23"/>
      <c r="C62" s="23"/>
      <c r="D62" s="23"/>
      <c r="E62" s="23"/>
      <c r="F62" s="23"/>
      <c r="G62" s="23"/>
      <c r="H62" s="23"/>
      <c r="I62" s="16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29</v>
      </c>
      <c r="C63" s="24">
        <f>(R60*(1+$E$7))/($E$5-$E$7)</f>
        <v>25707125.566510506</v>
      </c>
      <c r="D63" s="1"/>
      <c r="E63" s="1" t="s">
        <v>30</v>
      </c>
      <c r="F63" s="19">
        <f>NPV($E$5,I58:CH58)</f>
        <v>17106430.476036515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31</v>
      </c>
      <c r="C64" s="25">
        <f>C63/((1+$E$5)^$R$10)</f>
        <v>10783153.904236216</v>
      </c>
      <c r="D64" s="17"/>
      <c r="E64" s="3"/>
      <c r="F64" s="3"/>
      <c r="G64" s="3"/>
      <c r="H64" s="17"/>
      <c r="I64" s="13"/>
      <c r="J64" s="1"/>
      <c r="L64" s="50" t="s">
        <v>52</v>
      </c>
      <c r="M64" s="51"/>
      <c r="N64" s="51"/>
      <c r="O64" s="51"/>
      <c r="P64" s="51"/>
      <c r="Q64" s="50"/>
    </row>
    <row r="65" spans="1:17" x14ac:dyDescent="0.25">
      <c r="A65" s="1"/>
      <c r="B65" s="6" t="s">
        <v>32</v>
      </c>
      <c r="C65" s="6"/>
      <c r="D65" s="1"/>
      <c r="E65" s="6"/>
      <c r="F65" s="6"/>
      <c r="G65" s="26" t="s">
        <v>33</v>
      </c>
      <c r="H65" s="26" t="s">
        <v>30</v>
      </c>
      <c r="I65" s="16"/>
      <c r="J65" s="1"/>
      <c r="K65" s="50"/>
      <c r="L65" s="52">
        <f>D71</f>
        <v>282.24807826307153</v>
      </c>
      <c r="M65" s="53">
        <v>-0.01</v>
      </c>
      <c r="N65" s="53">
        <v>0.01</v>
      </c>
      <c r="O65" s="53">
        <v>0.03</v>
      </c>
      <c r="P65" s="53">
        <v>0.04</v>
      </c>
      <c r="Q65" s="53">
        <v>0.05</v>
      </c>
    </row>
    <row r="66" spans="1:17" x14ac:dyDescent="0.25">
      <c r="A66" s="1"/>
      <c r="B66" s="27" t="s">
        <v>34</v>
      </c>
      <c r="C66" s="1"/>
      <c r="D66" s="35">
        <v>505590</v>
      </c>
      <c r="E66" s="1"/>
      <c r="F66" s="1"/>
      <c r="G66" s="24">
        <f>C64+SUM(I61:R61)</f>
        <v>16244781.103954684</v>
      </c>
      <c r="H66" s="19">
        <f>F63</f>
        <v>17106430.476036515</v>
      </c>
      <c r="I66" s="16"/>
      <c r="J66" s="1"/>
      <c r="K66" s="50"/>
      <c r="L66" s="54">
        <f>L67-1%</f>
        <v>7.0763938782930969E-2</v>
      </c>
      <c r="M66" s="55">
        <f t="dataTable" ref="M66:Q70" dt2D="1" dtr="1" r1="E7" r2="E5"/>
        <v>269.98875948729631</v>
      </c>
      <c r="N66" s="55">
        <v>326.89549749091282</v>
      </c>
      <c r="O66" s="55">
        <v>432.6152420780395</v>
      </c>
      <c r="P66" s="55">
        <v>527.21999161887879</v>
      </c>
      <c r="Q66" s="55">
        <v>690.94686347394997</v>
      </c>
    </row>
    <row r="67" spans="1:17" x14ac:dyDescent="0.25">
      <c r="A67" s="1"/>
      <c r="B67" s="28" t="s">
        <v>35</v>
      </c>
      <c r="C67" s="3"/>
      <c r="D67" s="29">
        <f>173763-10036</f>
        <v>163727</v>
      </c>
      <c r="E67" s="3"/>
      <c r="F67" s="3"/>
      <c r="G67" s="3"/>
      <c r="H67" s="3"/>
      <c r="I67" s="16"/>
      <c r="J67" s="1"/>
      <c r="K67" s="51"/>
      <c r="L67" s="54">
        <f>L68-1%</f>
        <v>8.0763938782930964E-2</v>
      </c>
      <c r="M67" s="55">
        <v>233.45393412709925</v>
      </c>
      <c r="N67" s="56">
        <v>273.96890030793071</v>
      </c>
      <c r="O67" s="56">
        <v>343.67524521456789</v>
      </c>
      <c r="P67" s="56">
        <v>400.59578980288495</v>
      </c>
      <c r="Q67" s="55">
        <v>487.32929916376685</v>
      </c>
    </row>
    <row r="68" spans="1:17" x14ac:dyDescent="0.25">
      <c r="A68" s="1"/>
      <c r="B68" s="6" t="s">
        <v>36</v>
      </c>
      <c r="C68" s="6"/>
      <c r="D68" s="6"/>
      <c r="E68" s="6"/>
      <c r="F68" s="6"/>
      <c r="G68" s="30">
        <f>(G66+D66-D67)</f>
        <v>16586644.103954684</v>
      </c>
      <c r="H68" s="31">
        <f>(H66+D66-D67)</f>
        <v>17448293.476036515</v>
      </c>
      <c r="I68" s="16"/>
      <c r="J68"/>
      <c r="K68" s="50" t="s">
        <v>1</v>
      </c>
      <c r="L68" s="57">
        <v>9.0763938782930959E-2</v>
      </c>
      <c r="M68" s="55">
        <v>204.52565382864276</v>
      </c>
      <c r="N68" s="56">
        <v>234.18218178473771</v>
      </c>
      <c r="O68" s="58">
        <v>282.24807826307153</v>
      </c>
      <c r="P68" s="56">
        <v>319.08121105648058</v>
      </c>
      <c r="Q68" s="55">
        <v>371.33967292176897</v>
      </c>
    </row>
    <row r="69" spans="1:17" x14ac:dyDescent="0.25">
      <c r="A69" s="1"/>
      <c r="B69" s="3" t="s">
        <v>37</v>
      </c>
      <c r="C69" s="3"/>
      <c r="D69" s="35">
        <f>60292594/1000</f>
        <v>60292.593999999997</v>
      </c>
      <c r="E69" s="3"/>
      <c r="F69" s="3"/>
      <c r="G69" s="3"/>
      <c r="H69" s="3"/>
      <c r="I69" s="16"/>
      <c r="J69" s="1"/>
      <c r="K69" s="50"/>
      <c r="L69" s="59">
        <f>L68+2%</f>
        <v>0.11076393878293096</v>
      </c>
      <c r="M69" s="55">
        <v>161.95249157804702</v>
      </c>
      <c r="N69" s="56">
        <v>178.91245277064152</v>
      </c>
      <c r="O69" s="56">
        <v>204.0692007857121</v>
      </c>
      <c r="P69" s="56">
        <v>221.73623158050469</v>
      </c>
      <c r="Q69" s="55">
        <v>244.78796707568904</v>
      </c>
    </row>
    <row r="70" spans="1:17" x14ac:dyDescent="0.25">
      <c r="A70" s="1"/>
      <c r="B70" s="18" t="s">
        <v>38</v>
      </c>
      <c r="C70" s="18"/>
      <c r="D70" s="18">
        <f>D69*$J$5</f>
        <v>16939204.284299999</v>
      </c>
      <c r="E70" s="18"/>
      <c r="F70" s="18"/>
      <c r="G70" s="18"/>
      <c r="H70" s="32"/>
      <c r="I70" s="1"/>
      <c r="J70" s="1"/>
      <c r="K70" s="50"/>
      <c r="L70" s="59">
        <f>L69+1%</f>
        <v>0.12076393878293096</v>
      </c>
      <c r="M70" s="55">
        <v>145.94858639474216</v>
      </c>
      <c r="N70" s="55">
        <v>159.11293277015091</v>
      </c>
      <c r="O70" s="55">
        <v>177.98907941419969</v>
      </c>
      <c r="P70" s="55">
        <v>190.82674308891421</v>
      </c>
      <c r="Q70" s="55">
        <v>207.10907355623118</v>
      </c>
    </row>
    <row r="71" spans="1:17" x14ac:dyDescent="0.25">
      <c r="A71" s="1"/>
      <c r="B71" s="6" t="s">
        <v>39</v>
      </c>
      <c r="C71" s="6" t="s">
        <v>40</v>
      </c>
      <c r="D71" s="33">
        <f>(G71+H71)/2</f>
        <v>282.24807826307153</v>
      </c>
      <c r="F71" s="6"/>
      <c r="G71" s="33">
        <f>G68/D69</f>
        <v>275.1025126561097</v>
      </c>
      <c r="H71" s="33">
        <f>H68/D69</f>
        <v>289.39364387003343</v>
      </c>
      <c r="I71" s="16"/>
      <c r="J71" s="1"/>
    </row>
    <row r="72" spans="1:17" x14ac:dyDescent="0.25">
      <c r="A72"/>
      <c r="C72" s="1"/>
      <c r="D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13" sqref="E13"/>
    </sheetView>
  </sheetViews>
  <sheetFormatPr defaultRowHeight="15" x14ac:dyDescent="0.25"/>
  <cols>
    <col min="3" max="3" width="11.28515625" customWidth="1"/>
    <col min="11" max="11" width="11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7" t="s">
        <v>1</v>
      </c>
      <c r="C2" s="2"/>
      <c r="D2" s="2"/>
      <c r="E2" s="2"/>
      <c r="F2" s="2"/>
      <c r="G2" s="2"/>
      <c r="H2" s="2"/>
      <c r="I2" s="2"/>
      <c r="J2" s="2"/>
      <c r="K2" s="2"/>
      <c r="L2" s="38"/>
    </row>
    <row r="3" spans="1:14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2"/>
    </row>
    <row r="4" spans="1:14" x14ac:dyDescent="0.25">
      <c r="A4" s="40" t="s">
        <v>42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1">
        <v>0.23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1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2">
        <v>1.41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1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'PAYC DCF'!D70</f>
        <v>16939204.284299999</v>
      </c>
      <c r="D12" s="2"/>
      <c r="E12" s="2" t="s">
        <v>35</v>
      </c>
      <c r="F12" s="2"/>
      <c r="G12" s="21">
        <f>'PAYC DCF'!D67</f>
        <v>163727</v>
      </c>
      <c r="H12" s="2"/>
      <c r="I12" s="2" t="s">
        <v>47</v>
      </c>
      <c r="J12" s="2"/>
      <c r="K12" s="21">
        <f>G12+C12</f>
        <v>17102931.284299999</v>
      </c>
      <c r="L12" s="2"/>
    </row>
    <row r="13" spans="1:14" x14ac:dyDescent="0.25">
      <c r="A13" s="2" t="s">
        <v>48</v>
      </c>
      <c r="B13" s="2"/>
      <c r="C13" s="43">
        <f>C12/K12</f>
        <v>0.99042696264877728</v>
      </c>
      <c r="D13" s="2"/>
      <c r="E13" s="2" t="s">
        <v>49</v>
      </c>
      <c r="F13" s="2"/>
      <c r="G13" s="44">
        <f>G12/K12</f>
        <v>9.5730373512227518E-3</v>
      </c>
      <c r="H13" s="2"/>
      <c r="I13" s="2"/>
      <c r="J13" s="2"/>
      <c r="K13" s="2"/>
      <c r="L13" s="2"/>
      <c r="M13" s="35"/>
    </row>
    <row r="14" spans="1:14" x14ac:dyDescent="0.25">
      <c r="A14" s="2" t="s">
        <v>50</v>
      </c>
      <c r="B14" s="2"/>
      <c r="C14" s="45">
        <f>D7+D8*(D9)</f>
        <v>0.12159999999999999</v>
      </c>
      <c r="D14" s="2"/>
      <c r="E14" s="2" t="s">
        <v>51</v>
      </c>
      <c r="F14" s="2"/>
      <c r="G14" s="46">
        <v>4.4499999999999998E-2</v>
      </c>
      <c r="H14" s="2"/>
      <c r="I14" s="47" t="s">
        <v>1</v>
      </c>
      <c r="J14" s="48"/>
      <c r="K14" s="66">
        <f>C13*C14+G14*G13*(1-D6)</f>
        <v>0.12076393878293096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PAYC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2023-05-29T15:37:25Z</dcterms:modified>
</cp:coreProperties>
</file>