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5D691600-CC88-4E0A-9D2D-B4EDEA13FB2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PENN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" i="1" l="1"/>
  <c r="L66" i="1"/>
  <c r="L65" i="1"/>
  <c r="C56" i="1"/>
  <c r="C54" i="1"/>
  <c r="C52" i="1"/>
  <c r="D63" i="1"/>
  <c r="J46" i="1"/>
  <c r="K46" i="1"/>
  <c r="L46" i="1"/>
  <c r="M46" i="1"/>
  <c r="N46" i="1"/>
  <c r="O46" i="1"/>
  <c r="P46" i="1"/>
  <c r="Q46" i="1"/>
  <c r="R46" i="1"/>
  <c r="I46" i="1"/>
  <c r="I52" i="1"/>
  <c r="J52" i="1"/>
  <c r="K52" i="1"/>
  <c r="L52" i="1"/>
  <c r="M52" i="1"/>
  <c r="N52" i="1"/>
  <c r="O52" i="1"/>
  <c r="P52" i="1"/>
  <c r="Q52" i="1"/>
  <c r="R52" i="1"/>
  <c r="J43" i="1"/>
  <c r="K43" i="1"/>
  <c r="L43" i="1"/>
  <c r="M43" i="1"/>
  <c r="N43" i="1"/>
  <c r="O43" i="1"/>
  <c r="P43" i="1"/>
  <c r="Q43" i="1"/>
  <c r="R43" i="1"/>
  <c r="I43" i="1"/>
  <c r="G49" i="1"/>
  <c r="H49" i="1"/>
  <c r="F49" i="1"/>
  <c r="D49" i="1"/>
  <c r="E49" i="1"/>
  <c r="C49" i="1"/>
  <c r="G46" i="1"/>
  <c r="H46" i="1"/>
  <c r="F46" i="1"/>
  <c r="D46" i="1"/>
  <c r="E46" i="1"/>
  <c r="C46" i="1"/>
  <c r="G43" i="1"/>
  <c r="H43" i="1"/>
  <c r="D43" i="1"/>
  <c r="C43" i="1"/>
  <c r="F43" i="1"/>
  <c r="G53" i="1"/>
  <c r="H53" i="1"/>
  <c r="F53" i="1"/>
  <c r="G39" i="1"/>
  <c r="H39" i="1"/>
  <c r="F39" i="1"/>
  <c r="D39" i="1"/>
  <c r="E39" i="1"/>
  <c r="C39" i="1"/>
  <c r="G31" i="1"/>
  <c r="H31" i="1"/>
  <c r="F31" i="1"/>
  <c r="D31" i="1"/>
  <c r="E31" i="1"/>
  <c r="C31" i="1"/>
  <c r="G14" i="1"/>
  <c r="H14" i="1"/>
  <c r="F14" i="1"/>
  <c r="D14" i="1"/>
  <c r="E14" i="1"/>
  <c r="C14" i="1"/>
  <c r="C19" i="1"/>
  <c r="L17" i="3"/>
  <c r="G25" i="1"/>
  <c r="D25" i="1"/>
  <c r="D26" i="1" s="1"/>
  <c r="E25" i="1"/>
  <c r="C25" i="1"/>
  <c r="H28" i="1"/>
  <c r="H25" i="1"/>
  <c r="F25" i="1"/>
  <c r="F26" i="1" s="1"/>
  <c r="G22" i="1"/>
  <c r="H22" i="1"/>
  <c r="F22" i="1"/>
  <c r="D22" i="1"/>
  <c r="E22" i="1"/>
  <c r="E43" i="1" s="1"/>
  <c r="C22" i="1"/>
  <c r="G19" i="1"/>
  <c r="G28" i="1" s="1"/>
  <c r="H19" i="1"/>
  <c r="F19" i="1"/>
  <c r="F28" i="1" s="1"/>
  <c r="D19" i="1"/>
  <c r="D28" i="1" s="1"/>
  <c r="E19" i="1"/>
  <c r="G11" i="1"/>
  <c r="G26" i="1" s="1"/>
  <c r="H11" i="1"/>
  <c r="H16" i="1" s="1"/>
  <c r="F11" i="1"/>
  <c r="D11" i="1"/>
  <c r="D16" i="1" s="1"/>
  <c r="E11" i="1"/>
  <c r="C11" i="1"/>
  <c r="G12" i="2"/>
  <c r="L63" i="1"/>
  <c r="D66" i="1"/>
  <c r="C12" i="2" s="1"/>
  <c r="C14" i="2"/>
  <c r="J9" i="1"/>
  <c r="K9" i="1" s="1"/>
  <c r="L9" i="1" s="1"/>
  <c r="M9" i="1" s="1"/>
  <c r="N9" i="1" s="1"/>
  <c r="O9" i="1" s="1"/>
  <c r="P9" i="1" s="1"/>
  <c r="Q9" i="1" s="1"/>
  <c r="R9" i="1" s="1"/>
  <c r="C26" i="1" l="1"/>
  <c r="I11" i="1"/>
  <c r="H26" i="1"/>
  <c r="E28" i="1"/>
  <c r="C28" i="1"/>
  <c r="C16" i="1"/>
  <c r="E26" i="1"/>
  <c r="C30" i="1"/>
  <c r="C34" i="1" s="1"/>
  <c r="D30" i="1"/>
  <c r="D34" i="1" s="1"/>
  <c r="D54" i="1" s="1"/>
  <c r="E23" i="1"/>
  <c r="E20" i="1"/>
  <c r="F16" i="1"/>
  <c r="F17" i="1" s="1"/>
  <c r="G16" i="1"/>
  <c r="G30" i="1" s="1"/>
  <c r="C23" i="1"/>
  <c r="D23" i="1"/>
  <c r="G23" i="1"/>
  <c r="H23" i="1"/>
  <c r="F23" i="1"/>
  <c r="C44" i="1"/>
  <c r="E16" i="1"/>
  <c r="E44" i="1"/>
  <c r="D50" i="1"/>
  <c r="F12" i="1"/>
  <c r="F20" i="1"/>
  <c r="C32" i="1"/>
  <c r="D32" i="1"/>
  <c r="H32" i="1"/>
  <c r="E32" i="1"/>
  <c r="F32" i="1"/>
  <c r="G32" i="1"/>
  <c r="I31" i="1"/>
  <c r="C50" i="1"/>
  <c r="D44" i="1"/>
  <c r="F47" i="1"/>
  <c r="F50" i="1"/>
  <c r="G47" i="1"/>
  <c r="E50" i="1"/>
  <c r="G50" i="1"/>
  <c r="G44" i="1"/>
  <c r="G12" i="1"/>
  <c r="F44" i="1"/>
  <c r="G20" i="1"/>
  <c r="D20" i="1"/>
  <c r="C20" i="1"/>
  <c r="D12" i="1"/>
  <c r="D47" i="1"/>
  <c r="H12" i="1"/>
  <c r="D17" i="1"/>
  <c r="C17" i="1"/>
  <c r="H20" i="1"/>
  <c r="H44" i="1"/>
  <c r="C47" i="1"/>
  <c r="H47" i="1"/>
  <c r="H50" i="1"/>
  <c r="E12" i="1"/>
  <c r="E47" i="1"/>
  <c r="K12" i="2"/>
  <c r="G13" i="2" s="1"/>
  <c r="I25" i="1" l="1"/>
  <c r="J11" i="1"/>
  <c r="I44" i="1"/>
  <c r="I16" i="1"/>
  <c r="I14" i="1" s="1"/>
  <c r="E30" i="1"/>
  <c r="E34" i="1" s="1"/>
  <c r="E54" i="1" s="1"/>
  <c r="C36" i="1"/>
  <c r="F30" i="1"/>
  <c r="F34" i="1" s="1"/>
  <c r="F54" i="1" s="1"/>
  <c r="H30" i="1"/>
  <c r="H36" i="1" s="1"/>
  <c r="H52" i="1" s="1"/>
  <c r="H56" i="1" s="1"/>
  <c r="G17" i="1"/>
  <c r="G34" i="1"/>
  <c r="G54" i="1" s="1"/>
  <c r="G36" i="1"/>
  <c r="G52" i="1" s="1"/>
  <c r="G56" i="1" s="1"/>
  <c r="H34" i="1"/>
  <c r="H54" i="1" s="1"/>
  <c r="E17" i="1"/>
  <c r="E36" i="1"/>
  <c r="E52" i="1" s="1"/>
  <c r="E56" i="1" s="1"/>
  <c r="H17" i="1"/>
  <c r="C13" i="2"/>
  <c r="K14" i="2" s="1"/>
  <c r="E5" i="1" s="1"/>
  <c r="F36" i="1"/>
  <c r="F52" i="1" s="1"/>
  <c r="F56" i="1" s="1"/>
  <c r="D36" i="1"/>
  <c r="D52" i="1" s="1"/>
  <c r="D56" i="1" s="1"/>
  <c r="I28" i="1" l="1"/>
  <c r="I30" i="1" s="1"/>
  <c r="I34" i="1" s="1"/>
  <c r="K11" i="1"/>
  <c r="J25" i="1"/>
  <c r="J28" i="1" s="1"/>
  <c r="G37" i="1"/>
  <c r="G40" i="1"/>
  <c r="E37" i="1"/>
  <c r="E40" i="1"/>
  <c r="H37" i="1"/>
  <c r="F40" i="1"/>
  <c r="D37" i="1"/>
  <c r="D40" i="1"/>
  <c r="F37" i="1"/>
  <c r="H40" i="1"/>
  <c r="L11" i="1" l="1"/>
  <c r="K25" i="1"/>
  <c r="K28" i="1" s="1"/>
  <c r="C40" i="1"/>
  <c r="C37" i="1"/>
  <c r="I49" i="1"/>
  <c r="I56" i="1" s="1"/>
  <c r="M11" i="1" l="1"/>
  <c r="L25" i="1"/>
  <c r="L28" i="1" s="1"/>
  <c r="I36" i="1"/>
  <c r="N11" i="1" l="1"/>
  <c r="M25" i="1"/>
  <c r="M28" i="1" s="1"/>
  <c r="I37" i="1"/>
  <c r="I39" i="1"/>
  <c r="I54" i="1" s="1"/>
  <c r="O11" i="1" l="1"/>
  <c r="N25" i="1"/>
  <c r="N28" i="1" s="1"/>
  <c r="I57" i="1"/>
  <c r="P11" i="1" l="1"/>
  <c r="O25" i="1"/>
  <c r="O28" i="1" s="1"/>
  <c r="J31" i="1"/>
  <c r="J49" i="1"/>
  <c r="J56" i="1" s="1"/>
  <c r="J16" i="1"/>
  <c r="J14" i="1" s="1"/>
  <c r="Q11" i="1" l="1"/>
  <c r="P25" i="1"/>
  <c r="P28" i="1" s="1"/>
  <c r="J30" i="1"/>
  <c r="J36" i="1" s="1"/>
  <c r="J39" i="1" s="1"/>
  <c r="R11" i="1" l="1"/>
  <c r="R25" i="1" s="1"/>
  <c r="R28" i="1" s="1"/>
  <c r="Q25" i="1"/>
  <c r="Q28" i="1" s="1"/>
  <c r="J37" i="1"/>
  <c r="J34" i="1"/>
  <c r="J54" i="1" s="1"/>
  <c r="K49" i="1"/>
  <c r="K56" i="1" s="1"/>
  <c r="K31" i="1"/>
  <c r="K16" i="1"/>
  <c r="K14" i="1" s="1"/>
  <c r="K30" i="1" l="1"/>
  <c r="K36" i="1" s="1"/>
  <c r="K39" i="1" l="1"/>
  <c r="K37" i="1"/>
  <c r="K34" i="1"/>
  <c r="K54" i="1" l="1"/>
  <c r="L16" i="1"/>
  <c r="L49" i="1"/>
  <c r="L56" i="1" s="1"/>
  <c r="L14" i="1"/>
  <c r="L31" i="1"/>
  <c r="L30" i="1" l="1"/>
  <c r="L36" i="1" s="1"/>
  <c r="L37" i="1" s="1"/>
  <c r="L34" i="1" l="1"/>
  <c r="L39" i="1"/>
  <c r="M31" i="1"/>
  <c r="M49" i="1"/>
  <c r="M56" i="1" s="1"/>
  <c r="M16" i="1"/>
  <c r="M14" i="1" s="1"/>
  <c r="L54" i="1" l="1"/>
  <c r="M30" i="1"/>
  <c r="M36" i="1" s="1"/>
  <c r="N49" i="1"/>
  <c r="N56" i="1" s="1"/>
  <c r="N16" i="1"/>
  <c r="N14" i="1" s="1"/>
  <c r="N31" i="1"/>
  <c r="M34" i="1" l="1"/>
  <c r="M39" i="1"/>
  <c r="M37" i="1"/>
  <c r="O49" i="1"/>
  <c r="O56" i="1" s="1"/>
  <c r="O31" i="1"/>
  <c r="O16" i="1"/>
  <c r="N30" i="1"/>
  <c r="M54" i="1" l="1"/>
  <c r="O30" i="1"/>
  <c r="N36" i="1"/>
  <c r="N34" i="1"/>
  <c r="P16" i="1"/>
  <c r="P31" i="1"/>
  <c r="P49" i="1"/>
  <c r="P56" i="1" s="1"/>
  <c r="O14" i="1"/>
  <c r="P30" i="1" l="1"/>
  <c r="N37" i="1"/>
  <c r="N39" i="1"/>
  <c r="Q16" i="1"/>
  <c r="Q31" i="1"/>
  <c r="Q49" i="1"/>
  <c r="Q56" i="1" s="1"/>
  <c r="P14" i="1"/>
  <c r="O34" i="1"/>
  <c r="O36" i="1"/>
  <c r="N54" i="1" l="1"/>
  <c r="Q30" i="1"/>
  <c r="Q34" i="1" s="1"/>
  <c r="O37" i="1"/>
  <c r="O39" i="1"/>
  <c r="Q14" i="1"/>
  <c r="R49" i="1"/>
  <c r="R56" i="1" s="1"/>
  <c r="R31" i="1"/>
  <c r="R16" i="1"/>
  <c r="P34" i="1"/>
  <c r="P36" i="1"/>
  <c r="R30" i="1" l="1"/>
  <c r="R36" i="1" s="1"/>
  <c r="R14" i="1"/>
  <c r="Q36" i="1"/>
  <c r="O54" i="1"/>
  <c r="P37" i="1"/>
  <c r="P39" i="1"/>
  <c r="R34" i="1"/>
  <c r="Q37" i="1" l="1"/>
  <c r="Q39" i="1"/>
  <c r="Q54" i="1" s="1"/>
  <c r="P54" i="1"/>
  <c r="R39" i="1"/>
  <c r="R54" i="1" s="1"/>
  <c r="R37" i="1"/>
  <c r="S54" i="1" l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F59" i="1" s="1"/>
  <c r="H62" i="1" s="1"/>
  <c r="H64" i="1" s="1"/>
  <c r="H67" i="1" s="1"/>
  <c r="J44" i="1"/>
  <c r="J57" i="1"/>
  <c r="K44" i="1"/>
  <c r="L44" i="1" s="1"/>
  <c r="M44" i="1" s="1"/>
  <c r="N44" i="1" s="1"/>
  <c r="O44" i="1" s="1"/>
  <c r="P44" i="1" s="1"/>
  <c r="Q44" i="1" s="1"/>
  <c r="R44" i="1" s="1"/>
  <c r="K57" i="1"/>
  <c r="L57" i="1"/>
  <c r="P57" i="1" l="1"/>
  <c r="O57" i="1"/>
  <c r="N57" i="1"/>
  <c r="Q57" i="1"/>
  <c r="M57" i="1"/>
  <c r="C59" i="1"/>
  <c r="C60" i="1" s="1"/>
  <c r="R57" i="1" l="1"/>
  <c r="G62" i="1" s="1"/>
  <c r="G64" i="1" s="1"/>
  <c r="G67" i="1" s="1"/>
  <c r="E67" i="1" s="1"/>
  <c r="L61" i="1" s="1"/>
  <c r="J6" i="1" l="1"/>
  <c r="N5" i="1" s="1"/>
</calcChain>
</file>

<file path=xl/sharedStrings.xml><?xml version="1.0" encoding="utf-8"?>
<sst xmlns="http://schemas.openxmlformats.org/spreadsheetml/2006/main" count="283" uniqueCount="157">
  <si>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</si>
  <si>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</si>
  <si>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</si>
  <si>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</si>
  <si>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</si>
  <si>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</si>
  <si>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</si>
  <si>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</si>
  <si>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</si>
  <si>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</si>
  <si>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</si>
  <si>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</si>
  <si>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</si>
  <si>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</si>
  <si>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</si>
  <si>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</si>
  <si>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</si>
  <si>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</si>
  <si>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</si>
  <si>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</si>
  <si>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</si>
  <si>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</si>
  <si>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</si>
  <si>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</si>
  <si>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</si>
  <si>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</si>
  <si>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</si>
  <si>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</si>
  <si>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</si>
  <si>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</si>
  <si>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</si>
  <si>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</si>
  <si>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</si>
  <si>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</si>
  <si>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</si>
  <si>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</si>
  <si>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</si>
  <si>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</si>
  <si>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</si>
  <si>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</si>
  <si>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</si>
  <si>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</si>
  <si>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</si>
  <si>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</si>
  <si>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</si>
  <si>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</si>
  <si>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</si>
  <si>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</si>
  <si>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</si>
  <si>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</si>
  <si>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</si>
  <si>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</si>
  <si>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Net income (loss)</t>
  </si>
  <si>
    <t>CONSOLIDATED STATEMENTS OF CASH FLOWS</t>
  </si>
  <si>
    <t>Deferred income taxes</t>
  </si>
  <si>
    <t>Other income</t>
  </si>
  <si>
    <t>Terminal Growth Rate</t>
  </si>
  <si>
    <t>2022</t>
  </si>
  <si>
    <t>2021</t>
  </si>
  <si>
    <t>2020</t>
  </si>
  <si>
    <t>—</t>
  </si>
  <si>
    <t>Net cash used in investing activities</t>
  </si>
  <si>
    <t xml:space="preserve">Other </t>
  </si>
  <si>
    <t>Gaming</t>
  </si>
  <si>
    <t>Interest expense, net</t>
  </si>
  <si>
    <t>Weighted average shares outstanding:</t>
  </si>
  <si>
    <t>Basic</t>
  </si>
  <si>
    <t>Diluted</t>
  </si>
  <si>
    <t>(in millions)</t>
  </si>
  <si>
    <t>Adjustments to reconcile net income (loss) to net cash provided by operating activities:</t>
  </si>
  <si>
    <t>Stock-based compensation</t>
  </si>
  <si>
    <t>Other</t>
  </si>
  <si>
    <t>Income taxes</t>
  </si>
  <si>
    <t>Net cash provided by operating activities</t>
  </si>
  <si>
    <t>Update: 30/06/2023</t>
  </si>
  <si>
    <t>CONSOLIDATED STATEMENTS OF OPERATIONS</t>
  </si>
  <si>
    <t>For the year ended December 31,</t>
  </si>
  <si>
    <t>(in millions, except per share data)</t>
  </si>
  <si>
    <t>Revenues</t>
  </si>
  <si>
    <t>Food, beverage, hotel and other</t>
  </si>
  <si>
    <t>Total revenues</t>
  </si>
  <si>
    <t>Operating expenses</t>
  </si>
  <si>
    <t>General and administrative</t>
  </si>
  <si>
    <t>Impairment losses</t>
  </si>
  <si>
    <t>Total operating expenses</t>
  </si>
  <si>
    <t>Operating income (loss)</t>
  </si>
  <si>
    <t>Other income (expenses)</t>
  </si>
  <si>
    <t>Interest income</t>
  </si>
  <si>
    <t>Income from unconsolidated affiliates</t>
  </si>
  <si>
    <t>Loss on early extinguishment of debt</t>
  </si>
  <si>
    <t>Total other expenses</t>
  </si>
  <si>
    <t>Income (loss) before income taxes</t>
  </si>
  <si>
    <t>Income tax benefit (expense)</t>
  </si>
  <si>
    <t>Less: Net (income) loss attributable to non-controlling interest</t>
  </si>
  <si>
    <t>Net income (loss) attributable to PENN Entertainment</t>
  </si>
  <si>
    <t>Earnings (loss) per share</t>
  </si>
  <si>
    <t>Basic earnings (loss) per share</t>
  </si>
  <si>
    <t>Diluted earnings (loss) per share</t>
  </si>
  <si>
    <t>Weighted-average common shares outstanding—basic</t>
  </si>
  <si>
    <t>Weighted-average common shares outstanding—diluted</t>
  </si>
  <si>
    <t>Operating activities</t>
  </si>
  <si>
    <t>Amortization of debt discount and debt issuance costs</t>
  </si>
  <si>
    <t>Noncash interest expense</t>
  </si>
  <si>
    <t>Noncash operating lease expense</t>
  </si>
  <si>
    <t>Gain on acquisition of Sam Houston</t>
  </si>
  <si>
    <t>Holding loss (gain) on equity securities</t>
  </si>
  <si>
    <t>Loss (gain) on sale or disposal of property and equipment</t>
  </si>
  <si>
    <t>Gain on Hurricane Laura</t>
  </si>
  <si>
    <t>Noncash rent and interest expense related to the utilization of rent credits</t>
  </si>
  <si>
    <t>Return on investment from unconsolidated affiliates</t>
  </si>
  <si>
    <t>Changes in operating assets and liabilities, net of businesses acquired</t>
  </si>
  <si>
    <t>Accounts receivable</t>
  </si>
  <si>
    <t>Prepaid expenses and other current assets</t>
  </si>
  <si>
    <t>Other assets</t>
  </si>
  <si>
    <t>Accounts payable</t>
  </si>
  <si>
    <t>Accrued expenses</t>
  </si>
  <si>
    <t>Operating lease liabilities</t>
  </si>
  <si>
    <t>Other current and long-term liabilities</t>
  </si>
  <si>
    <t>Investing activities</t>
  </si>
  <si>
    <t>Capital expenditures</t>
  </si>
  <si>
    <t>Proceeds from sale of property and equipment</t>
  </si>
  <si>
    <t>Hurricane Laura insurance proceeds</t>
  </si>
  <si>
    <t>Consideration paid for Barstool Sports investment</t>
  </si>
  <si>
    <t>Consideration paid for acquisitions of businesses, net of cash acquired</t>
  </si>
  <si>
    <t>Consideration paid for remaining interest of Sam Houston</t>
  </si>
  <si>
    <t>Consideration paid for gaming licenses and other intangible assets</t>
  </si>
  <si>
    <t>Acquisition of equity securities</t>
  </si>
  <si>
    <t>Consideration paid for a cost method investment</t>
  </si>
  <si>
    <t>CONSOLIDATED STATEMENTS OF INCOME</t>
  </si>
  <si>
    <t>2017</t>
  </si>
  <si>
    <t>2018</t>
  </si>
  <si>
    <t>2019</t>
  </si>
  <si>
    <t>Management service and license fees</t>
  </si>
  <si>
    <t>Reimbursable management costs</t>
  </si>
  <si>
    <t>Less: Promotional allowance</t>
  </si>
  <si>
    <t>Provision for (recoveries on) loan loss and unfunded loan commitments</t>
  </si>
  <si>
    <t>Less: Net loss attributable to non-controlling interest</t>
  </si>
  <si>
    <t>Net income attributable to Penn National</t>
  </si>
  <si>
    <t>Earnings per common share</t>
  </si>
  <si>
    <t>Basic earnings per common share</t>
  </si>
  <si>
    <t>Diluted earnings per common share</t>
  </si>
  <si>
    <t>Weighted-average basic shares outstanding</t>
  </si>
  <si>
    <t>Weighted-average diluted shares outstanding</t>
  </si>
  <si>
    <t>Adjustments to reconcile net income to net cash provided by operating activities:</t>
  </si>
  <si>
    <t>Amortization of items charged to interest expense</t>
  </si>
  <si>
    <t>Change in fair value of contingent purchase price</t>
  </si>
  <si>
    <t>Holding gain on equity securities</t>
  </si>
  <si>
    <t>Loss on sale or disposal of property and equipment</t>
  </si>
  <si>
    <t>Reclassification of accumulated other comprehensive loss to earnings upon termination of management contract</t>
  </si>
  <si>
    <t>Project capital expenditures</t>
  </si>
  <si>
    <t>Maintenance capital expenditures</t>
  </si>
  <si>
    <t>Proceeds from sale-and-leaseback transactions in conjunction with acquisitions</t>
  </si>
  <si>
    <t>Cash received for the sale of the Divested Properties and Belterra Park</t>
  </si>
  <si>
    <t>Additional contributions from (to) joint ventures</t>
  </si>
  <si>
    <t>Proceeds from sale of loan</t>
  </si>
  <si>
    <t>Receipts applied against nonaccrual loan</t>
  </si>
  <si>
    <t>PENN Entertainment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</si>
</sst>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&quot;($&quot;#,##0.00_);[Red]&quot;($&quot;#,##0.00\)"/>
    <numFmt numFmtId="169" formatCode="\(#,##0.00_);[Red]\(#,##0.00\)"/>
    <numFmt numFmtId="171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166" fontId="0" fillId="0" borderId="0" xfId="0" applyNumberFormat="1"/>
    <xf numFmtId="165" fontId="0" fillId="0" borderId="0" xfId="0" applyNumberFormat="1"/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10" fillId="0" borderId="0" xfId="0" applyFont="1"/>
    <xf numFmtId="4" fontId="10" fillId="0" borderId="0" xfId="0" applyNumberFormat="1" applyFont="1"/>
    <xf numFmtId="168" fontId="10" fillId="0" borderId="0" xfId="0" applyNumberFormat="1" applyFont="1"/>
    <xf numFmtId="167" fontId="10" fillId="0" borderId="0" xfId="0" applyNumberFormat="1" applyFont="1"/>
    <xf numFmtId="169" fontId="10" fillId="0" borderId="0" xfId="0" applyNumberFormat="1" applyFont="1"/>
    <xf numFmtId="0" fontId="11" fillId="0" borderId="0" xfId="0" applyFont="1"/>
    <xf numFmtId="0" fontId="3" fillId="9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/>
    <xf numFmtId="0" fontId="10" fillId="0" borderId="0" xfId="0" applyFont="1" applyAlignment="1"/>
    <xf numFmtId="0" fontId="10" fillId="0" borderId="0" xfId="0" applyFont="1" applyAlignment="1">
      <alignment horizontal="center"/>
    </xf>
    <xf numFmtId="167" fontId="0" fillId="0" borderId="0" xfId="0" applyNumberFormat="1"/>
    <xf numFmtId="4" fontId="0" fillId="0" borderId="0" xfId="0" applyNumberFormat="1"/>
    <xf numFmtId="169" fontId="0" fillId="0" borderId="0" xfId="0" applyNumberFormat="1"/>
    <xf numFmtId="4" fontId="3" fillId="2" borderId="0" xfId="1" applyNumberFormat="1" applyFont="1" applyFill="1"/>
    <xf numFmtId="171" fontId="3" fillId="2" borderId="0" xfId="0" applyNumberFormat="1" applyFont="1" applyFill="1"/>
    <xf numFmtId="1" fontId="3" fillId="2" borderId="3" xfId="1" applyNumberFormat="1" applyFont="1" applyFill="1" applyBorder="1"/>
    <xf numFmtId="0" fontId="6" fillId="4" borderId="0" xfId="0" applyFont="1" applyFill="1" applyBorder="1"/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1" fontId="3" fillId="2" borderId="0" xfId="1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8"/>
  <sheetViews>
    <sheetView tabSelected="1" topLeftCell="B1" zoomScaleNormal="100" workbookViewId="0">
      <selection activeCell="L8" sqref="L8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156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0.12066912005579349</v>
      </c>
      <c r="F5" s="2"/>
      <c r="G5" s="1"/>
      <c r="H5" s="1" t="s">
        <v>2</v>
      </c>
      <c r="I5" s="1"/>
      <c r="J5" s="7">
        <v>27.33</v>
      </c>
      <c r="K5" s="1"/>
      <c r="L5" s="1" t="s">
        <v>3</v>
      </c>
      <c r="M5" s="1"/>
      <c r="N5" s="7">
        <f>(J6/J5)-1</f>
        <v>0.77835565118343397</v>
      </c>
      <c r="O5" s="1"/>
      <c r="P5" s="1" t="s">
        <v>74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7">
        <f>E67</f>
        <v>48.602459946843247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101">
        <v>2024</v>
      </c>
      <c r="K10" s="101">
        <v>2025</v>
      </c>
      <c r="L10" s="101">
        <v>2026</v>
      </c>
      <c r="M10" s="101">
        <v>2027</v>
      </c>
      <c r="N10" s="101">
        <v>2028</v>
      </c>
      <c r="O10" s="101">
        <v>2029</v>
      </c>
      <c r="P10" s="101">
        <v>2030</v>
      </c>
      <c r="Q10" s="101">
        <v>2031</v>
      </c>
      <c r="R10" s="101">
        <v>2032</v>
      </c>
    </row>
    <row r="11" spans="1:18" s="51" customFormat="1" x14ac:dyDescent="0.25">
      <c r="A11" s="1"/>
      <c r="B11" s="1" t="s">
        <v>7</v>
      </c>
      <c r="C11" s="11">
        <f>'Raw IS'!I14</f>
        <v>3148</v>
      </c>
      <c r="D11" s="11">
        <f>'Raw IS'!J14</f>
        <v>3587.9</v>
      </c>
      <c r="E11" s="11">
        <f>'Raw IS'!K14</f>
        <v>5301.4</v>
      </c>
      <c r="F11" s="11">
        <f>'Raw IS'!D11</f>
        <v>3578.7</v>
      </c>
      <c r="G11" s="11">
        <f>'Raw IS'!E11</f>
        <v>5905</v>
      </c>
      <c r="H11" s="11">
        <f>'Raw IS'!F11</f>
        <v>6401.7</v>
      </c>
      <c r="I11" s="20">
        <f>H11*(1+I12)</f>
        <v>6670</v>
      </c>
      <c r="J11" s="102">
        <f t="shared" ref="J11:R11" si="1">I11*(1+J12)</f>
        <v>6859.9999999999991</v>
      </c>
      <c r="K11" s="102">
        <f t="shared" si="1"/>
        <v>7219.9999999999991</v>
      </c>
      <c r="L11" s="102">
        <f t="shared" si="1"/>
        <v>7559.9999999999991</v>
      </c>
      <c r="M11" s="102">
        <f t="shared" si="1"/>
        <v>7879.9999999999991</v>
      </c>
      <c r="N11" s="102">
        <f t="shared" si="1"/>
        <v>8260</v>
      </c>
      <c r="O11" s="102">
        <f t="shared" si="1"/>
        <v>8580</v>
      </c>
      <c r="P11" s="102">
        <f t="shared" si="1"/>
        <v>8890</v>
      </c>
      <c r="Q11" s="102">
        <f t="shared" si="1"/>
        <v>9190</v>
      </c>
      <c r="R11" s="102">
        <f t="shared" si="1"/>
        <v>9510</v>
      </c>
    </row>
    <row r="12" spans="1:18" s="51" customFormat="1" x14ac:dyDescent="0.25">
      <c r="A12" s="1"/>
      <c r="B12" s="71" t="s">
        <v>8</v>
      </c>
      <c r="C12" s="72"/>
      <c r="D12" s="72">
        <f>(D11/C11)-1</f>
        <v>0.13973951715374855</v>
      </c>
      <c r="E12" s="72">
        <f>(E11/D11)-1</f>
        <v>0.4775774129713759</v>
      </c>
      <c r="F12" s="72">
        <f>(F11/E11)-1</f>
        <v>-0.32495189949824577</v>
      </c>
      <c r="G12" s="72">
        <f>(G11/F11)-1</f>
        <v>0.65004051750635705</v>
      </c>
      <c r="H12" s="72">
        <f>(H11/G11)-1</f>
        <v>8.4115156646909384E-2</v>
      </c>
      <c r="I12" s="73">
        <v>4.1910742459034367E-2</v>
      </c>
      <c r="J12" s="74">
        <v>2.8485757121439192E-2</v>
      </c>
      <c r="K12" s="74">
        <v>5.2478134110787167E-2</v>
      </c>
      <c r="L12" s="74">
        <v>4.7091412742382266E-2</v>
      </c>
      <c r="M12" s="74">
        <v>4.2328042328042326E-2</v>
      </c>
      <c r="N12" s="74">
        <v>4.8223350253807196E-2</v>
      </c>
      <c r="O12" s="74">
        <v>3.874092009685226E-2</v>
      </c>
      <c r="P12" s="74">
        <v>3.6130536130536184E-2</v>
      </c>
      <c r="Q12" s="74">
        <v>3.3745781777277939E-2</v>
      </c>
      <c r="R12" s="74">
        <v>3.4820457018498452E-2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82"/>
      <c r="J13" s="103"/>
      <c r="K13" s="103"/>
      <c r="L13" s="103"/>
      <c r="M13" s="103"/>
      <c r="N13" s="103"/>
      <c r="O13" s="103"/>
      <c r="P13" s="103"/>
      <c r="Q13" s="103"/>
      <c r="R13" s="103"/>
    </row>
    <row r="14" spans="1:18" s="51" customFormat="1" x14ac:dyDescent="0.25">
      <c r="A14" s="1"/>
      <c r="B14" s="1" t="s">
        <v>9</v>
      </c>
      <c r="C14" s="11">
        <f>'Raw IS'!I16+'Raw IS'!I17</f>
        <v>1786.8</v>
      </c>
      <c r="D14" s="11">
        <f>'Raw IS'!J16+'Raw IS'!J17</f>
        <v>1990.7</v>
      </c>
      <c r="E14" s="11">
        <f>'Raw IS'!K16+'Raw IS'!K17</f>
        <v>2954.5</v>
      </c>
      <c r="F14" s="11">
        <f>'Raw IS'!D13+'Raw IS'!D14</f>
        <v>1868</v>
      </c>
      <c r="G14" s="11">
        <f>'Raw IS'!E13+'Raw IS'!E14</f>
        <v>3148</v>
      </c>
      <c r="H14" s="11">
        <f>'Raw IS'!F13+'Raw IS'!F14</f>
        <v>3631.6000000000004</v>
      </c>
      <c r="I14" s="68">
        <f>I11-I16</f>
        <v>4762.38</v>
      </c>
      <c r="J14" s="69">
        <f t="shared" ref="J14:R14" si="2">J11-J16</f>
        <v>4932.3399999999992</v>
      </c>
      <c r="K14" s="69">
        <f t="shared" si="2"/>
        <v>5118.9799999999996</v>
      </c>
      <c r="L14" s="69">
        <f t="shared" si="2"/>
        <v>5299.5599999999995</v>
      </c>
      <c r="M14" s="69">
        <f t="shared" si="2"/>
        <v>5413.5599999999995</v>
      </c>
      <c r="N14" s="69">
        <f t="shared" si="2"/>
        <v>5583.76</v>
      </c>
      <c r="O14" s="69">
        <f t="shared" si="2"/>
        <v>5782.92</v>
      </c>
      <c r="P14" s="69">
        <f t="shared" si="2"/>
        <v>5965.1900000000005</v>
      </c>
      <c r="Q14" s="69">
        <f t="shared" si="2"/>
        <v>6166.49</v>
      </c>
      <c r="R14" s="69">
        <f t="shared" si="2"/>
        <v>6381.21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04"/>
      <c r="K15" s="104"/>
      <c r="L15" s="104"/>
      <c r="M15" s="104"/>
      <c r="N15" s="104"/>
      <c r="O15" s="104"/>
      <c r="P15" s="104"/>
      <c r="Q15" s="104"/>
      <c r="R15" s="104"/>
    </row>
    <row r="16" spans="1:18" s="51" customFormat="1" x14ac:dyDescent="0.25">
      <c r="A16" s="1"/>
      <c r="B16" s="1" t="s">
        <v>10</v>
      </c>
      <c r="C16" s="11">
        <f>C11-C14</f>
        <v>1361.2</v>
      </c>
      <c r="D16" s="11">
        <f t="shared" ref="D16:H16" si="3">D11-D14</f>
        <v>1597.2</v>
      </c>
      <c r="E16" s="11">
        <f t="shared" si="3"/>
        <v>2346.8999999999996</v>
      </c>
      <c r="F16" s="11">
        <f t="shared" si="3"/>
        <v>1710.6999999999998</v>
      </c>
      <c r="G16" s="11">
        <f t="shared" si="3"/>
        <v>2757</v>
      </c>
      <c r="H16" s="11">
        <f t="shared" si="3"/>
        <v>2770.0999999999995</v>
      </c>
      <c r="I16" s="20">
        <f>I11*I17</f>
        <v>1907.62</v>
      </c>
      <c r="J16" s="102">
        <f t="shared" ref="J16:R16" si="4">J11*J17</f>
        <v>1927.6599999999999</v>
      </c>
      <c r="K16" s="102">
        <f>K11*K17</f>
        <v>2101.0199999999995</v>
      </c>
      <c r="L16" s="102">
        <f t="shared" si="4"/>
        <v>2260.4399999999996</v>
      </c>
      <c r="M16" s="102">
        <f t="shared" si="4"/>
        <v>2466.4399999999996</v>
      </c>
      <c r="N16" s="102">
        <f t="shared" si="4"/>
        <v>2676.2400000000002</v>
      </c>
      <c r="O16" s="102">
        <f t="shared" si="4"/>
        <v>2797.08</v>
      </c>
      <c r="P16" s="102">
        <f t="shared" si="4"/>
        <v>2924.81</v>
      </c>
      <c r="Q16" s="102">
        <f t="shared" si="4"/>
        <v>3023.51</v>
      </c>
      <c r="R16" s="102">
        <f t="shared" si="4"/>
        <v>3128.79</v>
      </c>
    </row>
    <row r="17" spans="1:18" s="51" customFormat="1" x14ac:dyDescent="0.25">
      <c r="A17" s="1"/>
      <c r="B17" s="71" t="s">
        <v>11</v>
      </c>
      <c r="C17" s="72">
        <f t="shared" ref="C17:H17" si="5">C16/C11</f>
        <v>0.4324015247776366</v>
      </c>
      <c r="D17" s="72">
        <f t="shared" si="5"/>
        <v>0.44516290866523595</v>
      </c>
      <c r="E17" s="72">
        <f t="shared" si="5"/>
        <v>0.44269438261591276</v>
      </c>
      <c r="F17" s="72">
        <f t="shared" si="5"/>
        <v>0.4780227456897756</v>
      </c>
      <c r="G17" s="72">
        <f t="shared" si="5"/>
        <v>0.46689246401354784</v>
      </c>
      <c r="H17" s="72">
        <f t="shared" si="5"/>
        <v>0.43271318556008553</v>
      </c>
      <c r="I17" s="76">
        <v>0.28599999999999998</v>
      </c>
      <c r="J17" s="105">
        <v>0.28100000000000003</v>
      </c>
      <c r="K17" s="105">
        <v>0.29099999999999998</v>
      </c>
      <c r="L17" s="105">
        <v>0.29899999999999999</v>
      </c>
      <c r="M17" s="105">
        <v>0.313</v>
      </c>
      <c r="N17" s="105">
        <v>0.32400000000000001</v>
      </c>
      <c r="O17" s="105">
        <v>0.32600000000000001</v>
      </c>
      <c r="P17" s="105">
        <v>0.32900000000000001</v>
      </c>
      <c r="Q17" s="105">
        <v>0.32900000000000001</v>
      </c>
      <c r="R17" s="105">
        <v>0.32900000000000001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02"/>
      <c r="K18" s="102"/>
      <c r="L18" s="102"/>
      <c r="M18" s="102"/>
      <c r="N18" s="102"/>
      <c r="O18" s="102"/>
      <c r="P18" s="102"/>
      <c r="Q18" s="102"/>
      <c r="R18" s="102"/>
    </row>
    <row r="19" spans="1:18" s="51" customFormat="1" x14ac:dyDescent="0.25">
      <c r="A19" s="1"/>
      <c r="B19" s="1" t="s">
        <v>39</v>
      </c>
      <c r="C19" s="11">
        <f>'Raw IS'!I18+'Raw IS'!I19</f>
        <v>540.6</v>
      </c>
      <c r="D19" s="11">
        <f>'Raw IS'!J18+'Raw IS'!J19</f>
        <v>676.19999999999993</v>
      </c>
      <c r="E19" s="11">
        <f>'Raw IS'!K18+'Raw IS'!K19</f>
        <v>1187.7</v>
      </c>
      <c r="F19" s="11">
        <f>'Raw IS'!D15</f>
        <v>1130.8</v>
      </c>
      <c r="G19" s="11">
        <f>'Raw IS'!E15</f>
        <v>1352.9</v>
      </c>
      <c r="H19" s="11">
        <f>'Raw IS'!F15</f>
        <v>1110.4000000000001</v>
      </c>
      <c r="I19" s="20"/>
      <c r="J19" s="102"/>
      <c r="K19" s="102"/>
      <c r="L19" s="102"/>
      <c r="M19" s="102"/>
      <c r="N19" s="102"/>
      <c r="O19" s="102"/>
      <c r="P19" s="102"/>
      <c r="Q19" s="102"/>
      <c r="R19" s="102"/>
    </row>
    <row r="20" spans="1:18" s="51" customFormat="1" x14ac:dyDescent="0.25">
      <c r="A20" s="1"/>
      <c r="B20" s="71" t="s">
        <v>16</v>
      </c>
      <c r="C20" s="72">
        <f t="shared" ref="C20:H20" si="6">C19/C11</f>
        <v>0.17172808132147396</v>
      </c>
      <c r="D20" s="72">
        <f t="shared" si="6"/>
        <v>0.18846679115917386</v>
      </c>
      <c r="E20" s="72">
        <f t="shared" si="6"/>
        <v>0.22403516052363528</v>
      </c>
      <c r="F20" s="72">
        <f t="shared" si="6"/>
        <v>0.31598066336937997</v>
      </c>
      <c r="G20" s="72">
        <f t="shared" si="6"/>
        <v>0.22911092294665539</v>
      </c>
      <c r="H20" s="72">
        <f t="shared" si="6"/>
        <v>0.17345392630082637</v>
      </c>
      <c r="I20" s="73"/>
      <c r="J20" s="74"/>
      <c r="K20" s="74"/>
      <c r="L20" s="74"/>
      <c r="M20" s="74"/>
      <c r="N20" s="74"/>
      <c r="O20" s="74"/>
      <c r="P20" s="74"/>
      <c r="Q20" s="74"/>
      <c r="R20" s="74"/>
    </row>
    <row r="21" spans="1:18" s="51" customFormat="1" x14ac:dyDescent="0.25">
      <c r="A21" s="1"/>
      <c r="B21" s="71"/>
      <c r="C21" s="72"/>
      <c r="D21" s="72"/>
      <c r="E21" s="72"/>
      <c r="F21" s="72"/>
      <c r="G21" s="72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4"/>
    </row>
    <row r="22" spans="1:18" s="51" customFormat="1" x14ac:dyDescent="0.25">
      <c r="A22" s="1"/>
      <c r="B22" s="1" t="s">
        <v>20</v>
      </c>
      <c r="C22" s="11">
        <f>'Raw IS'!I20</f>
        <v>267.10000000000002</v>
      </c>
      <c r="D22" s="11">
        <f>'Raw IS'!J20</f>
        <v>269</v>
      </c>
      <c r="E22" s="11">
        <f>'Raw IS'!K20</f>
        <v>414.2</v>
      </c>
      <c r="F22" s="11">
        <f>'Raw IS'!D17</f>
        <v>366.7</v>
      </c>
      <c r="G22" s="11">
        <f>'Raw IS'!E17</f>
        <v>344.5</v>
      </c>
      <c r="H22" s="11">
        <f>'Raw IS'!F17</f>
        <v>567.5</v>
      </c>
      <c r="I22" s="38">
        <v>459.29</v>
      </c>
      <c r="J22" s="106">
        <v>466.67</v>
      </c>
      <c r="K22" s="106">
        <v>449.78</v>
      </c>
      <c r="L22" s="106">
        <v>440.15</v>
      </c>
      <c r="M22" s="106">
        <v>439.95</v>
      </c>
      <c r="N22" s="106">
        <v>450</v>
      </c>
      <c r="O22" s="106">
        <v>450</v>
      </c>
      <c r="P22" s="106">
        <v>450</v>
      </c>
      <c r="Q22" s="106">
        <v>450</v>
      </c>
      <c r="R22" s="106">
        <v>450</v>
      </c>
    </row>
    <row r="23" spans="1:18" s="51" customFormat="1" x14ac:dyDescent="0.25">
      <c r="A23" s="1"/>
      <c r="B23" s="13" t="s">
        <v>16</v>
      </c>
      <c r="C23" s="14">
        <f>C22/C11</f>
        <v>8.4847522236340539E-2</v>
      </c>
      <c r="D23" s="14">
        <f t="shared" ref="D23:H23" si="7">D22/D11</f>
        <v>7.4974218902422021E-2</v>
      </c>
      <c r="E23" s="14">
        <f t="shared" si="7"/>
        <v>7.8130305202399372E-2</v>
      </c>
      <c r="F23" s="14">
        <f t="shared" si="7"/>
        <v>0.10246737642160561</v>
      </c>
      <c r="G23" s="14">
        <f t="shared" si="7"/>
        <v>5.8340389500423369E-2</v>
      </c>
      <c r="H23" s="14">
        <f t="shared" si="7"/>
        <v>8.864832778793133E-2</v>
      </c>
      <c r="I23" s="19">
        <v>0.05</v>
      </c>
      <c r="J23" s="67">
        <v>0.05</v>
      </c>
      <c r="K23" s="67">
        <v>0.05</v>
      </c>
      <c r="L23" s="67">
        <v>3.5000000000000003E-2</v>
      </c>
      <c r="M23" s="67">
        <v>3.5000000000000003E-2</v>
      </c>
      <c r="N23" s="67">
        <v>3.5000000000000003E-2</v>
      </c>
      <c r="O23" s="67">
        <v>3.5000000000000003E-2</v>
      </c>
      <c r="P23" s="67">
        <v>3.5000000000000003E-2</v>
      </c>
      <c r="Q23" s="67">
        <v>3.5000000000000003E-2</v>
      </c>
      <c r="R23" s="67">
        <v>3.5000000000000003E-2</v>
      </c>
    </row>
    <row r="24" spans="1:18" s="51" customFormat="1" x14ac:dyDescent="0.25">
      <c r="A24" s="1"/>
      <c r="B24" s="13"/>
      <c r="C24" s="14"/>
      <c r="D24" s="14"/>
      <c r="E24" s="14"/>
      <c r="F24" s="14"/>
      <c r="G24" s="14"/>
      <c r="H24" s="14"/>
      <c r="I24" s="19"/>
      <c r="J24" s="67"/>
      <c r="K24" s="67"/>
      <c r="L24" s="67"/>
      <c r="M24" s="67"/>
      <c r="N24" s="67"/>
      <c r="O24" s="67"/>
      <c r="P24" s="67"/>
      <c r="Q24" s="67"/>
      <c r="R24" s="67"/>
    </row>
    <row r="25" spans="1:18" s="51" customFormat="1" x14ac:dyDescent="0.25">
      <c r="A25" s="1"/>
      <c r="B25" s="1" t="s">
        <v>62</v>
      </c>
      <c r="C25" s="98">
        <f>'Raw IS'!I21+'Raw IS'!I22</f>
        <v>107.8</v>
      </c>
      <c r="D25" s="98">
        <f>'Raw IS'!J21+'Raw IS'!J22</f>
        <v>17.899999999999999</v>
      </c>
      <c r="E25" s="98">
        <f>'Raw IS'!K21+'Raw IS'!K22</f>
        <v>173.1</v>
      </c>
      <c r="F25" s="65">
        <f>'Raw IS'!D18</f>
        <v>623.4</v>
      </c>
      <c r="G25" s="65">
        <f>'Raw IS'!E18</f>
        <v>0</v>
      </c>
      <c r="H25" s="65">
        <f>'Raw IS'!F18</f>
        <v>118.2</v>
      </c>
      <c r="I25" s="100">
        <f>I26*I11</f>
        <v>0</v>
      </c>
      <c r="J25" s="107">
        <f t="shared" ref="J25:R25" si="8">J26*J11</f>
        <v>219.51999999999998</v>
      </c>
      <c r="K25" s="107">
        <f t="shared" si="8"/>
        <v>231.03999999999996</v>
      </c>
      <c r="L25" s="107">
        <f t="shared" si="8"/>
        <v>241.92</v>
      </c>
      <c r="M25" s="107">
        <f t="shared" si="8"/>
        <v>252.15999999999997</v>
      </c>
      <c r="N25" s="107">
        <f t="shared" si="8"/>
        <v>239.54000000000002</v>
      </c>
      <c r="O25" s="107">
        <f t="shared" si="8"/>
        <v>171.6</v>
      </c>
      <c r="P25" s="107">
        <f t="shared" si="8"/>
        <v>177.8</v>
      </c>
      <c r="Q25" s="107">
        <f t="shared" si="8"/>
        <v>147.04</v>
      </c>
      <c r="R25" s="107">
        <f t="shared" si="8"/>
        <v>142.65</v>
      </c>
    </row>
    <row r="26" spans="1:18" s="51" customFormat="1" x14ac:dyDescent="0.25">
      <c r="A26" s="1"/>
      <c r="B26" s="13" t="s">
        <v>16</v>
      </c>
      <c r="C26" s="14">
        <f>C25/C11</f>
        <v>3.4243964421855143E-2</v>
      </c>
      <c r="D26" s="14">
        <f t="shared" ref="D26:H26" si="9">D25/D11</f>
        <v>4.9889907745477849E-3</v>
      </c>
      <c r="E26" s="14">
        <f t="shared" si="9"/>
        <v>3.2651752367299204E-2</v>
      </c>
      <c r="F26" s="14">
        <f t="shared" si="9"/>
        <v>0.1741973342275128</v>
      </c>
      <c r="G26" s="14">
        <f t="shared" si="9"/>
        <v>0</v>
      </c>
      <c r="H26" s="14">
        <f t="shared" si="9"/>
        <v>1.8463845541028166E-2</v>
      </c>
      <c r="I26" s="19">
        <v>0</v>
      </c>
      <c r="J26" s="67">
        <v>3.2000000000000001E-2</v>
      </c>
      <c r="K26" s="67">
        <v>3.2000000000000001E-2</v>
      </c>
      <c r="L26" s="67">
        <v>3.2000000000000001E-2</v>
      </c>
      <c r="M26" s="67">
        <v>3.2000000000000001E-2</v>
      </c>
      <c r="N26" s="67">
        <v>2.9000000000000001E-2</v>
      </c>
      <c r="O26" s="67">
        <v>0.02</v>
      </c>
      <c r="P26" s="67">
        <v>0.02</v>
      </c>
      <c r="Q26" s="67">
        <v>1.6E-2</v>
      </c>
      <c r="R26" s="67">
        <v>1.4999999999999999E-2</v>
      </c>
    </row>
    <row r="27" spans="1:18" s="51" customFormat="1" x14ac:dyDescent="0.25">
      <c r="A27" s="1"/>
      <c r="B27" s="1"/>
      <c r="C27" s="11"/>
      <c r="D27" s="11"/>
      <c r="E27" s="11"/>
      <c r="F27" s="11"/>
      <c r="G27" s="11"/>
      <c r="H27" s="11"/>
      <c r="I27" s="38"/>
      <c r="J27" s="106"/>
      <c r="K27" s="106"/>
      <c r="L27" s="106"/>
      <c r="M27" s="106"/>
      <c r="N27" s="106"/>
      <c r="O27" s="106"/>
      <c r="P27" s="106"/>
      <c r="Q27" s="106"/>
      <c r="R27" s="106"/>
    </row>
    <row r="28" spans="1:18" s="51" customFormat="1" x14ac:dyDescent="0.25">
      <c r="A28" s="1"/>
      <c r="B28" s="1" t="s">
        <v>12</v>
      </c>
      <c r="C28" s="11">
        <f>C19+C22+C25</f>
        <v>915.5</v>
      </c>
      <c r="D28" s="11">
        <f t="shared" ref="D28:R28" si="10">D19+D22+D25</f>
        <v>963.09999999999991</v>
      </c>
      <c r="E28" s="11">
        <f t="shared" si="10"/>
        <v>1775</v>
      </c>
      <c r="F28" s="11">
        <f t="shared" si="10"/>
        <v>2120.9</v>
      </c>
      <c r="G28" s="11">
        <f t="shared" si="10"/>
        <v>1697.4</v>
      </c>
      <c r="H28" s="11">
        <f t="shared" si="10"/>
        <v>1796.1000000000001</v>
      </c>
      <c r="I28" s="38">
        <f>I19+I22+I25</f>
        <v>459.29</v>
      </c>
      <c r="J28" s="106">
        <f t="shared" si="10"/>
        <v>686.19</v>
      </c>
      <c r="K28" s="106">
        <f t="shared" si="10"/>
        <v>680.81999999999994</v>
      </c>
      <c r="L28" s="106">
        <f t="shared" si="10"/>
        <v>682.06999999999994</v>
      </c>
      <c r="M28" s="106">
        <f t="shared" si="10"/>
        <v>692.1099999999999</v>
      </c>
      <c r="N28" s="106">
        <f t="shared" si="10"/>
        <v>689.54</v>
      </c>
      <c r="O28" s="106">
        <f t="shared" si="10"/>
        <v>621.6</v>
      </c>
      <c r="P28" s="106">
        <f t="shared" si="10"/>
        <v>627.79999999999995</v>
      </c>
      <c r="Q28" s="106">
        <f t="shared" si="10"/>
        <v>597.04</v>
      </c>
      <c r="R28" s="106">
        <f t="shared" si="10"/>
        <v>592.65</v>
      </c>
    </row>
    <row r="29" spans="1:18" s="51" customFormat="1" x14ac:dyDescent="0.25">
      <c r="A29" s="1"/>
      <c r="B29" s="1"/>
      <c r="C29" s="14"/>
      <c r="D29" s="14"/>
      <c r="E29" s="14"/>
      <c r="F29" s="14"/>
      <c r="G29" s="14"/>
      <c r="H29" s="14"/>
      <c r="I29" s="19"/>
      <c r="J29" s="67"/>
      <c r="K29" s="67"/>
      <c r="L29" s="67"/>
      <c r="M29" s="67"/>
      <c r="N29" s="67"/>
      <c r="O29" s="67"/>
      <c r="P29" s="67"/>
      <c r="Q29" s="67"/>
      <c r="R29" s="67"/>
    </row>
    <row r="30" spans="1:18" s="51" customFormat="1" x14ac:dyDescent="0.25">
      <c r="A30" s="1"/>
      <c r="B30" s="1" t="s">
        <v>13</v>
      </c>
      <c r="C30" s="11">
        <f>C16-C28</f>
        <v>445.70000000000005</v>
      </c>
      <c r="D30" s="11">
        <f>D16-D28</f>
        <v>634.10000000000014</v>
      </c>
      <c r="E30" s="11">
        <f>E16-E28</f>
        <v>571.89999999999964</v>
      </c>
      <c r="F30" s="11">
        <f>F16-F28</f>
        <v>-410.20000000000027</v>
      </c>
      <c r="G30" s="11">
        <f>G16-G28</f>
        <v>1059.5999999999999</v>
      </c>
      <c r="H30" s="11">
        <f>H16-H28</f>
        <v>973.99999999999932</v>
      </c>
      <c r="I30" s="38">
        <f>I16-I28</f>
        <v>1448.33</v>
      </c>
      <c r="J30" s="106">
        <f>J16-J28</f>
        <v>1241.4699999999998</v>
      </c>
      <c r="K30" s="106">
        <f>K16-K28</f>
        <v>1420.1999999999996</v>
      </c>
      <c r="L30" s="106">
        <f>L16-L28</f>
        <v>1578.3699999999997</v>
      </c>
      <c r="M30" s="106">
        <f>M16-M28</f>
        <v>1774.3299999999997</v>
      </c>
      <c r="N30" s="106">
        <f>N16-N28</f>
        <v>1986.7000000000003</v>
      </c>
      <c r="O30" s="106">
        <f>O16-O28</f>
        <v>2175.48</v>
      </c>
      <c r="P30" s="106">
        <f>P16-P28</f>
        <v>2297.0100000000002</v>
      </c>
      <c r="Q30" s="106">
        <f>Q16-Q28</f>
        <v>2426.4700000000003</v>
      </c>
      <c r="R30" s="106">
        <f>R16-R28</f>
        <v>2536.14</v>
      </c>
    </row>
    <row r="31" spans="1:18" s="51" customFormat="1" x14ac:dyDescent="0.25">
      <c r="A31" s="1"/>
      <c r="B31" s="1" t="s">
        <v>55</v>
      </c>
      <c r="C31" s="80">
        <f>SUM('Raw IS'!I30)</f>
        <v>-470.8</v>
      </c>
      <c r="D31" s="80">
        <f>SUM('Raw IS'!J30)</f>
        <v>-544.20000000000005</v>
      </c>
      <c r="E31" s="80">
        <f>SUM('Raw IS'!K30)</f>
        <v>-485.8</v>
      </c>
      <c r="F31" s="80">
        <f>'Raw IS'!D28</f>
        <v>-424</v>
      </c>
      <c r="G31" s="80">
        <f>'Raw IS'!E28</f>
        <v>-520.5</v>
      </c>
      <c r="H31" s="80">
        <f>'Raw IS'!F28</f>
        <v>-798.7</v>
      </c>
      <c r="I31" s="20">
        <f>I32*I11</f>
        <v>-329.49799999999999</v>
      </c>
      <c r="J31" s="102">
        <f>J32*J11</f>
        <v>-610.53999999999985</v>
      </c>
      <c r="K31" s="102">
        <f>K32*K11</f>
        <v>-613.69999999999993</v>
      </c>
      <c r="L31" s="102">
        <f>L32*L11</f>
        <v>-612.3599999999999</v>
      </c>
      <c r="M31" s="102">
        <f>M32*M11</f>
        <v>-606.75999999999988</v>
      </c>
      <c r="N31" s="102">
        <f>N32*N11</f>
        <v>-660.80000000000007</v>
      </c>
      <c r="O31" s="102">
        <f>O32*O11</f>
        <v>-699.27</v>
      </c>
      <c r="P31" s="102">
        <f>P32*P11</f>
        <v>-711.2</v>
      </c>
      <c r="Q31" s="102">
        <f>Q32*Q11</f>
        <v>-735.2</v>
      </c>
      <c r="R31" s="102">
        <f>R32*R11</f>
        <v>-760.80000000000007</v>
      </c>
    </row>
    <row r="32" spans="1:18" s="51" customFormat="1" x14ac:dyDescent="0.25">
      <c r="A32" s="1"/>
      <c r="B32" s="71" t="s">
        <v>16</v>
      </c>
      <c r="C32" s="72">
        <f>C31/C11</f>
        <v>-0.14955527318932657</v>
      </c>
      <c r="D32" s="72">
        <f>D31/D11</f>
        <v>-0.15167646812898911</v>
      </c>
      <c r="E32" s="72">
        <f>E31/E11</f>
        <v>-9.1636171577319209E-2</v>
      </c>
      <c r="F32" s="72">
        <f>F31/F11</f>
        <v>-0.11847877720960126</v>
      </c>
      <c r="G32" s="72">
        <f>G31/G11</f>
        <v>-8.8145639288738351E-2</v>
      </c>
      <c r="H32" s="72">
        <f>H31/H11</f>
        <v>-0.12476373463298812</v>
      </c>
      <c r="I32" s="76">
        <v>-4.9399999999999999E-2</v>
      </c>
      <c r="J32" s="105">
        <v>-8.8999999999999996E-2</v>
      </c>
      <c r="K32" s="105">
        <v>-8.5000000000000006E-2</v>
      </c>
      <c r="L32" s="105">
        <v>-8.1000000000000003E-2</v>
      </c>
      <c r="M32" s="105">
        <v>-7.6999999999999999E-2</v>
      </c>
      <c r="N32" s="105">
        <v>-0.08</v>
      </c>
      <c r="O32" s="105">
        <v>-8.1500000000000003E-2</v>
      </c>
      <c r="P32" s="105">
        <v>-0.08</v>
      </c>
      <c r="Q32" s="105">
        <v>-0.08</v>
      </c>
      <c r="R32" s="105">
        <v>-0.08</v>
      </c>
    </row>
    <row r="33" spans="1:86" s="51" customFormat="1" x14ac:dyDescent="0.25">
      <c r="A33" s="1"/>
      <c r="B33" s="1"/>
      <c r="C33" s="65"/>
      <c r="D33" s="65"/>
      <c r="E33" s="65"/>
      <c r="F33" s="65"/>
      <c r="G33" s="65"/>
      <c r="H33" s="65"/>
      <c r="I33" s="38"/>
      <c r="J33" s="106"/>
      <c r="K33" s="106"/>
      <c r="L33" s="106"/>
      <c r="M33" s="106"/>
      <c r="N33" s="106"/>
      <c r="O33" s="106"/>
      <c r="P33" s="106"/>
      <c r="Q33" s="106"/>
      <c r="R33" s="106"/>
    </row>
    <row r="34" spans="1:86" s="51" customFormat="1" x14ac:dyDescent="0.25">
      <c r="A34" s="1"/>
      <c r="B34" s="1" t="s">
        <v>14</v>
      </c>
      <c r="C34" s="11">
        <f>C30+C31</f>
        <v>-25.099999999999966</v>
      </c>
      <c r="D34" s="11">
        <f t="shared" ref="D34:R34" si="11">D30+D31</f>
        <v>89.900000000000091</v>
      </c>
      <c r="E34" s="11">
        <f t="shared" si="11"/>
        <v>86.099999999999625</v>
      </c>
      <c r="F34" s="11">
        <f t="shared" si="11"/>
        <v>-834.20000000000027</v>
      </c>
      <c r="G34" s="11">
        <f t="shared" si="11"/>
        <v>539.09999999999991</v>
      </c>
      <c r="H34" s="11">
        <f>H30+H31</f>
        <v>175.29999999999927</v>
      </c>
      <c r="I34" s="38">
        <f>I30+I31</f>
        <v>1118.8319999999999</v>
      </c>
      <c r="J34" s="106">
        <f t="shared" si="11"/>
        <v>630.92999999999995</v>
      </c>
      <c r="K34" s="106">
        <f t="shared" si="11"/>
        <v>806.49999999999966</v>
      </c>
      <c r="L34" s="106">
        <f t="shared" si="11"/>
        <v>966.00999999999976</v>
      </c>
      <c r="M34" s="106">
        <f t="shared" si="11"/>
        <v>1167.5699999999997</v>
      </c>
      <c r="N34" s="106">
        <f t="shared" si="11"/>
        <v>1325.9</v>
      </c>
      <c r="O34" s="106">
        <f t="shared" si="11"/>
        <v>1476.21</v>
      </c>
      <c r="P34" s="106">
        <f t="shared" si="11"/>
        <v>1585.8100000000002</v>
      </c>
      <c r="Q34" s="106">
        <f t="shared" si="11"/>
        <v>1691.2700000000002</v>
      </c>
      <c r="R34" s="106">
        <f t="shared" si="11"/>
        <v>1775.3399999999997</v>
      </c>
    </row>
    <row r="35" spans="1:86" s="51" customFormat="1" x14ac:dyDescent="0.25">
      <c r="A35" s="1"/>
      <c r="B35" s="1"/>
      <c r="C35" s="21"/>
      <c r="D35" s="21"/>
      <c r="E35" s="21"/>
      <c r="F35" s="21"/>
      <c r="G35" s="21"/>
      <c r="H35" s="65"/>
      <c r="I35" s="12"/>
      <c r="J35" s="104"/>
      <c r="K35" s="104"/>
      <c r="L35" s="104"/>
      <c r="M35" s="104"/>
      <c r="N35" s="104"/>
      <c r="O35" s="104"/>
      <c r="P35" s="104"/>
      <c r="Q35" s="104"/>
      <c r="R35" s="104"/>
    </row>
    <row r="36" spans="1:86" s="51" customFormat="1" x14ac:dyDescent="0.25">
      <c r="A36" s="1"/>
      <c r="B36" s="1" t="s">
        <v>15</v>
      </c>
      <c r="C36" s="11">
        <f>C30</f>
        <v>445.70000000000005</v>
      </c>
      <c r="D36" s="11">
        <f t="shared" ref="D36:R36" si="12">D30</f>
        <v>634.10000000000014</v>
      </c>
      <c r="E36" s="11">
        <f t="shared" si="12"/>
        <v>571.89999999999964</v>
      </c>
      <c r="F36" s="11">
        <f t="shared" si="12"/>
        <v>-410.20000000000027</v>
      </c>
      <c r="G36" s="11">
        <f t="shared" si="12"/>
        <v>1059.5999999999999</v>
      </c>
      <c r="H36" s="11">
        <f>H30</f>
        <v>973.99999999999932</v>
      </c>
      <c r="I36" s="38">
        <f t="shared" si="12"/>
        <v>1448.33</v>
      </c>
      <c r="J36" s="106">
        <f t="shared" si="12"/>
        <v>1241.4699999999998</v>
      </c>
      <c r="K36" s="106">
        <f t="shared" si="12"/>
        <v>1420.1999999999996</v>
      </c>
      <c r="L36" s="106">
        <f t="shared" si="12"/>
        <v>1578.3699999999997</v>
      </c>
      <c r="M36" s="106">
        <f t="shared" si="12"/>
        <v>1774.3299999999997</v>
      </c>
      <c r="N36" s="106">
        <f t="shared" si="12"/>
        <v>1986.7000000000003</v>
      </c>
      <c r="O36" s="106">
        <f t="shared" si="12"/>
        <v>2175.48</v>
      </c>
      <c r="P36" s="106">
        <f t="shared" si="12"/>
        <v>2297.0100000000002</v>
      </c>
      <c r="Q36" s="106">
        <f t="shared" si="12"/>
        <v>2426.4700000000003</v>
      </c>
      <c r="R36" s="106">
        <f t="shared" si="12"/>
        <v>2536.14</v>
      </c>
    </row>
    <row r="37" spans="1:86" s="51" customFormat="1" x14ac:dyDescent="0.25">
      <c r="A37" s="1"/>
      <c r="B37" s="71" t="s">
        <v>16</v>
      </c>
      <c r="C37" s="72">
        <f>C36/C11</f>
        <v>0.14158195679796698</v>
      </c>
      <c r="D37" s="72">
        <f>D36/D11</f>
        <v>0.17673290782909226</v>
      </c>
      <c r="E37" s="72">
        <f>E36/E11</f>
        <v>0.10787716452257888</v>
      </c>
      <c r="F37" s="72">
        <f>F36/F11</f>
        <v>-0.1146226283287228</v>
      </c>
      <c r="G37" s="72">
        <f>G36/G11</f>
        <v>0.17944115156646909</v>
      </c>
      <c r="H37" s="72">
        <f>H36/H11</f>
        <v>0.15214708593029966</v>
      </c>
      <c r="I37" s="73">
        <f>I36/I11</f>
        <v>0.21714092953523237</v>
      </c>
      <c r="J37" s="74">
        <f>J36/J11</f>
        <v>0.18097230320699709</v>
      </c>
      <c r="K37" s="74">
        <f>K36/K11</f>
        <v>0.1967036011080332</v>
      </c>
      <c r="L37" s="74">
        <f>L36/L11</f>
        <v>0.20877910052910051</v>
      </c>
      <c r="M37" s="74">
        <f>M36/M11</f>
        <v>0.22516878172588831</v>
      </c>
      <c r="N37" s="74">
        <f>N36/N11</f>
        <v>0.24052058111380148</v>
      </c>
      <c r="O37" s="74">
        <f>O36/O11</f>
        <v>0.25355244755244755</v>
      </c>
      <c r="P37" s="74">
        <f>P36/P11</f>
        <v>0.25838132733408326</v>
      </c>
      <c r="Q37" s="74">
        <f>Q36/Q11</f>
        <v>0.26403373231773669</v>
      </c>
      <c r="R37" s="74">
        <f>R36/R11</f>
        <v>0.26668138801261826</v>
      </c>
    </row>
    <row r="38" spans="1:86" s="51" customFormat="1" x14ac:dyDescent="0.25">
      <c r="A38" s="1"/>
      <c r="B38" s="13"/>
      <c r="C38" s="1"/>
      <c r="D38" s="1"/>
      <c r="E38" s="2"/>
      <c r="F38" s="1"/>
      <c r="G38" s="1"/>
      <c r="H38" s="1"/>
      <c r="I38" s="12"/>
      <c r="J38" s="104"/>
      <c r="K38" s="104"/>
      <c r="L38" s="104"/>
      <c r="M38" s="104"/>
      <c r="N38" s="104"/>
      <c r="O38" s="104"/>
      <c r="P38" s="104"/>
      <c r="Q38" s="104"/>
      <c r="R38" s="104"/>
    </row>
    <row r="39" spans="1:86" s="51" customFormat="1" x14ac:dyDescent="0.25">
      <c r="A39" s="1"/>
      <c r="B39" s="1" t="s">
        <v>17</v>
      </c>
      <c r="C39" s="11">
        <f>'Raw IS'!I32</f>
        <v>498.5</v>
      </c>
      <c r="D39" s="11">
        <f>'Raw IS'!J32</f>
        <v>3.6</v>
      </c>
      <c r="E39" s="11">
        <f>'Raw IS'!K32</f>
        <v>-43</v>
      </c>
      <c r="F39" s="11">
        <f>'Raw IS'!D30</f>
        <v>165.1</v>
      </c>
      <c r="G39" s="11">
        <f>'Raw IS'!E30</f>
        <v>-118.6</v>
      </c>
      <c r="H39" s="11">
        <f>'Raw IS'!F30</f>
        <v>46.4</v>
      </c>
      <c r="I39" s="20">
        <f>I36*I40</f>
        <v>-365.84815799999996</v>
      </c>
      <c r="J39" s="102">
        <f t="shared" ref="J39:R39" si="13">J36*J40</f>
        <v>-334.82445899999993</v>
      </c>
      <c r="K39" s="102">
        <f t="shared" si="13"/>
        <v>-386.86247999999983</v>
      </c>
      <c r="L39" s="102">
        <f t="shared" si="13"/>
        <v>-402.48434999999995</v>
      </c>
      <c r="M39" s="102">
        <f t="shared" si="13"/>
        <v>-452.45414999999991</v>
      </c>
      <c r="N39" s="102">
        <f t="shared" si="13"/>
        <v>-506.60850000000011</v>
      </c>
      <c r="O39" s="102">
        <f t="shared" si="13"/>
        <v>-554.74739999999997</v>
      </c>
      <c r="P39" s="102">
        <f t="shared" si="13"/>
        <v>-585.73755000000006</v>
      </c>
      <c r="Q39" s="102">
        <f t="shared" si="13"/>
        <v>-618.74985000000004</v>
      </c>
      <c r="R39" s="102">
        <f t="shared" si="13"/>
        <v>-646.71569999999997</v>
      </c>
    </row>
    <row r="40" spans="1:86" s="51" customFormat="1" x14ac:dyDescent="0.25">
      <c r="A40" s="1"/>
      <c r="B40" s="71" t="s">
        <v>18</v>
      </c>
      <c r="C40" s="75">
        <f>C39/C36</f>
        <v>1.1184653354274174</v>
      </c>
      <c r="D40" s="75">
        <f t="shared" ref="D40:H40" si="14">D39/D36</f>
        <v>5.6773379593124101E-3</v>
      </c>
      <c r="E40" s="75">
        <f t="shared" si="14"/>
        <v>-7.5187969924812081E-2</v>
      </c>
      <c r="F40" s="75">
        <f t="shared" si="14"/>
        <v>-0.40248659190638686</v>
      </c>
      <c r="G40" s="75">
        <f t="shared" si="14"/>
        <v>-0.11192902982257456</v>
      </c>
      <c r="H40" s="75">
        <f t="shared" si="14"/>
        <v>4.7638603696098597E-2</v>
      </c>
      <c r="I40" s="76">
        <v>-0.25259999999999999</v>
      </c>
      <c r="J40" s="105">
        <v>-0.2697</v>
      </c>
      <c r="K40" s="105">
        <v>-0.27239999999999998</v>
      </c>
      <c r="L40" s="105">
        <v>-0.255</v>
      </c>
      <c r="M40" s="105">
        <v>-0.255</v>
      </c>
      <c r="N40" s="105">
        <v>-0.255</v>
      </c>
      <c r="O40" s="105">
        <v>-0.255</v>
      </c>
      <c r="P40" s="105">
        <v>-0.255</v>
      </c>
      <c r="Q40" s="105">
        <v>-0.255</v>
      </c>
      <c r="R40" s="105">
        <v>-0.255</v>
      </c>
    </row>
    <row r="41" spans="1:86" s="51" customFormat="1" x14ac:dyDescent="0.25">
      <c r="A41" s="1"/>
      <c r="B41" s="1"/>
      <c r="C41" s="1"/>
      <c r="D41" s="1"/>
      <c r="E41" s="1"/>
      <c r="F41" s="1"/>
      <c r="G41" s="1"/>
      <c r="H41" s="1"/>
      <c r="I41" s="12"/>
      <c r="J41" s="104"/>
      <c r="K41" s="104"/>
      <c r="L41" s="104"/>
      <c r="M41" s="104"/>
      <c r="N41" s="104"/>
      <c r="O41" s="104"/>
      <c r="P41" s="104"/>
      <c r="Q41" s="104"/>
      <c r="R41" s="104"/>
    </row>
    <row r="42" spans="1:86" s="51" customFormat="1" x14ac:dyDescent="0.25">
      <c r="A42" s="1"/>
      <c r="B42" s="9" t="s">
        <v>19</v>
      </c>
      <c r="C42" s="9">
        <v>2017</v>
      </c>
      <c r="D42" s="9">
        <v>2018</v>
      </c>
      <c r="E42" s="10">
        <v>2019</v>
      </c>
      <c r="F42" s="9">
        <v>2020</v>
      </c>
      <c r="G42" s="9">
        <v>2021</v>
      </c>
      <c r="H42" s="9">
        <v>2022</v>
      </c>
      <c r="I42" s="64">
        <v>2023</v>
      </c>
      <c r="J42" s="108">
        <v>2024</v>
      </c>
      <c r="K42" s="108">
        <v>2025</v>
      </c>
      <c r="L42" s="108">
        <v>2026</v>
      </c>
      <c r="M42" s="108">
        <v>2027</v>
      </c>
      <c r="N42" s="108">
        <v>2028</v>
      </c>
      <c r="O42" s="108">
        <v>2029</v>
      </c>
      <c r="P42" s="108">
        <v>2030</v>
      </c>
      <c r="Q42" s="108">
        <v>2031</v>
      </c>
      <c r="R42" s="108">
        <v>2032</v>
      </c>
      <c r="S42" s="9">
        <v>2033</v>
      </c>
      <c r="T42" s="9">
        <v>2034</v>
      </c>
      <c r="U42" s="9">
        <v>2035</v>
      </c>
      <c r="V42" s="9">
        <v>2036</v>
      </c>
      <c r="W42" s="9">
        <v>2037</v>
      </c>
      <c r="X42" s="9">
        <v>2038</v>
      </c>
      <c r="Y42" s="9">
        <v>2039</v>
      </c>
      <c r="Z42" s="9">
        <v>2040</v>
      </c>
      <c r="AA42" s="9">
        <v>2041</v>
      </c>
      <c r="AB42" s="9">
        <v>2042</v>
      </c>
      <c r="AC42" s="9">
        <v>2043</v>
      </c>
      <c r="AD42" s="9">
        <v>2044</v>
      </c>
      <c r="AE42" s="9">
        <v>2045</v>
      </c>
      <c r="AF42" s="9">
        <v>2046</v>
      </c>
      <c r="AG42" s="9">
        <v>2047</v>
      </c>
      <c r="AH42" s="9">
        <v>2048</v>
      </c>
      <c r="AI42" s="9">
        <v>2049</v>
      </c>
      <c r="AJ42" s="9">
        <v>2050</v>
      </c>
      <c r="AK42" s="9">
        <v>2051</v>
      </c>
      <c r="AL42" s="9">
        <v>2052</v>
      </c>
      <c r="AM42" s="9">
        <v>2053</v>
      </c>
      <c r="AN42" s="9">
        <v>2054</v>
      </c>
      <c r="AO42" s="9">
        <v>2055</v>
      </c>
      <c r="AP42" s="9">
        <v>2056</v>
      </c>
      <c r="AQ42" s="9">
        <v>2057</v>
      </c>
      <c r="AR42" s="9">
        <v>2058</v>
      </c>
      <c r="AS42" s="9">
        <v>2059</v>
      </c>
      <c r="AT42" s="9">
        <v>2060</v>
      </c>
      <c r="AU42" s="9">
        <v>2061</v>
      </c>
      <c r="AV42" s="9">
        <v>2062</v>
      </c>
      <c r="AW42" s="9">
        <v>2063</v>
      </c>
      <c r="AX42" s="9">
        <v>2064</v>
      </c>
      <c r="AY42" s="9">
        <v>2065</v>
      </c>
      <c r="AZ42" s="9">
        <v>2066</v>
      </c>
      <c r="BA42" s="9">
        <v>2067</v>
      </c>
      <c r="BB42" s="9">
        <v>2068</v>
      </c>
      <c r="BC42" s="9">
        <v>2069</v>
      </c>
      <c r="BD42" s="9">
        <v>2070</v>
      </c>
      <c r="BE42" s="9">
        <v>2071</v>
      </c>
      <c r="BF42" s="9">
        <v>2072</v>
      </c>
      <c r="BG42" s="9">
        <v>2073</v>
      </c>
      <c r="BH42" s="9">
        <v>2074</v>
      </c>
      <c r="BI42" s="9">
        <v>2075</v>
      </c>
      <c r="BJ42" s="9">
        <v>2076</v>
      </c>
      <c r="BK42" s="9">
        <v>2077</v>
      </c>
      <c r="BL42" s="9">
        <v>2078</v>
      </c>
      <c r="BM42" s="9">
        <v>2079</v>
      </c>
      <c r="BN42" s="9">
        <v>2080</v>
      </c>
      <c r="BO42" s="9">
        <v>2081</v>
      </c>
      <c r="BP42" s="9">
        <v>2082</v>
      </c>
      <c r="BQ42" s="9">
        <v>2083</v>
      </c>
      <c r="BR42" s="9">
        <v>2084</v>
      </c>
      <c r="BS42" s="9">
        <v>2085</v>
      </c>
      <c r="BT42" s="9">
        <v>2086</v>
      </c>
      <c r="BU42" s="9">
        <v>2087</v>
      </c>
      <c r="BV42" s="9">
        <v>2088</v>
      </c>
      <c r="BW42" s="9">
        <v>2089</v>
      </c>
      <c r="BX42" s="9">
        <v>2090</v>
      </c>
      <c r="BY42" s="9">
        <v>2091</v>
      </c>
      <c r="BZ42" s="9">
        <v>2092</v>
      </c>
      <c r="CA42" s="9">
        <v>2093</v>
      </c>
      <c r="CB42" s="9">
        <v>2094</v>
      </c>
      <c r="CC42" s="9">
        <v>2095</v>
      </c>
      <c r="CD42" s="9">
        <v>2096</v>
      </c>
      <c r="CE42" s="9">
        <v>2097</v>
      </c>
      <c r="CF42" s="9">
        <v>2098</v>
      </c>
      <c r="CG42" s="9">
        <v>2099</v>
      </c>
      <c r="CH42" s="9">
        <v>2100</v>
      </c>
    </row>
    <row r="43" spans="1:86" s="51" customFormat="1" x14ac:dyDescent="0.25">
      <c r="A43" s="1"/>
      <c r="B43" s="1" t="s">
        <v>20</v>
      </c>
      <c r="C43" s="11">
        <f>C22</f>
        <v>267.10000000000002</v>
      </c>
      <c r="D43" s="11">
        <f t="shared" ref="D43:E43" si="15">D22</f>
        <v>269</v>
      </c>
      <c r="E43" s="11">
        <f t="shared" si="15"/>
        <v>414.2</v>
      </c>
      <c r="F43" s="11">
        <f>'Raw CF'!D9</f>
        <v>366.7</v>
      </c>
      <c r="G43" s="11">
        <f>'Raw CF'!E9</f>
        <v>344.5</v>
      </c>
      <c r="H43" s="11">
        <f>'Raw CF'!F9</f>
        <v>567.5</v>
      </c>
      <c r="I43" s="20">
        <f>I22</f>
        <v>459.29</v>
      </c>
      <c r="J43" s="102">
        <f t="shared" ref="J43:R43" si="16">J22</f>
        <v>466.67</v>
      </c>
      <c r="K43" s="102">
        <f t="shared" si="16"/>
        <v>449.78</v>
      </c>
      <c r="L43" s="102">
        <f t="shared" si="16"/>
        <v>440.15</v>
      </c>
      <c r="M43" s="102">
        <f t="shared" si="16"/>
        <v>439.95</v>
      </c>
      <c r="N43" s="102">
        <f t="shared" si="16"/>
        <v>450</v>
      </c>
      <c r="O43" s="102">
        <f t="shared" si="16"/>
        <v>450</v>
      </c>
      <c r="P43" s="102">
        <f t="shared" si="16"/>
        <v>450</v>
      </c>
      <c r="Q43" s="102">
        <f t="shared" si="16"/>
        <v>450</v>
      </c>
      <c r="R43" s="102">
        <f t="shared" si="16"/>
        <v>450</v>
      </c>
    </row>
    <row r="44" spans="1:86" s="51" customFormat="1" x14ac:dyDescent="0.25">
      <c r="A44" s="1"/>
      <c r="B44" s="71" t="s">
        <v>16</v>
      </c>
      <c r="C44" s="72">
        <f>C43/C11</f>
        <v>8.4847522236340539E-2</v>
      </c>
      <c r="D44" s="72">
        <f>D43/D11</f>
        <v>7.4974218902422021E-2</v>
      </c>
      <c r="E44" s="72">
        <f>E43/E11</f>
        <v>7.8130305202399372E-2</v>
      </c>
      <c r="F44" s="72">
        <f>F43/F11</f>
        <v>0.10246737642160561</v>
      </c>
      <c r="G44" s="72">
        <f>G43/G11</f>
        <v>5.8340389500423369E-2</v>
      </c>
      <c r="H44" s="72">
        <f>H43/H11</f>
        <v>8.864832778793133E-2</v>
      </c>
      <c r="I44" s="73">
        <f>I43/I11</f>
        <v>6.8859070464767622E-2</v>
      </c>
      <c r="J44" s="74">
        <f>J43/J11</f>
        <v>6.8027696793002926E-2</v>
      </c>
      <c r="K44" s="74">
        <f>K43/K11</f>
        <v>6.229639889196676E-2</v>
      </c>
      <c r="L44" s="74">
        <f>K44-0.1%</f>
        <v>6.1296398891966759E-2</v>
      </c>
      <c r="M44" s="74">
        <f t="shared" ref="M44:R44" si="17">L44-0.1%</f>
        <v>6.0296398891966758E-2</v>
      </c>
      <c r="N44" s="74">
        <f t="shared" si="17"/>
        <v>5.9296398891966758E-2</v>
      </c>
      <c r="O44" s="74">
        <f t="shared" si="17"/>
        <v>5.8296398891966757E-2</v>
      </c>
      <c r="P44" s="74">
        <f t="shared" si="17"/>
        <v>5.7296398891966756E-2</v>
      </c>
      <c r="Q44" s="74">
        <f t="shared" si="17"/>
        <v>5.6296398891966755E-2</v>
      </c>
      <c r="R44" s="74">
        <f t="shared" si="17"/>
        <v>5.5296398891966754E-2</v>
      </c>
    </row>
    <row r="45" spans="1:86" s="51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04"/>
      <c r="K45" s="104"/>
      <c r="L45" s="104"/>
      <c r="M45" s="104"/>
      <c r="N45" s="104"/>
      <c r="O45" s="104"/>
      <c r="P45" s="104"/>
      <c r="Q45" s="104"/>
      <c r="R45" s="104"/>
    </row>
    <row r="46" spans="1:86" s="51" customFormat="1" x14ac:dyDescent="0.25">
      <c r="A46" s="1"/>
      <c r="B46" s="1" t="s">
        <v>21</v>
      </c>
      <c r="C46" s="11">
        <f>'Raw CF'!J36+'Raw CF'!J35</f>
        <v>-99.300000000000011</v>
      </c>
      <c r="D46" s="11">
        <f>'Raw CF'!K36+'Raw CF'!K35</f>
        <v>-92.600000000000009</v>
      </c>
      <c r="E46" s="11">
        <f>'Raw CF'!L36+'Raw CF'!L35</f>
        <v>-190.6</v>
      </c>
      <c r="F46" s="37">
        <f>'Raw CF'!D39</f>
        <v>-137</v>
      </c>
      <c r="G46" s="37">
        <f>'Raw CF'!E39</f>
        <v>-244.1</v>
      </c>
      <c r="H46" s="37">
        <f>'Raw CF'!F39</f>
        <v>-263.39999999999998</v>
      </c>
      <c r="I46" s="20">
        <f>I47*I11</f>
        <v>-392.77</v>
      </c>
      <c r="J46" s="102">
        <f t="shared" ref="J46:R46" si="18">J47*J11</f>
        <v>-547.73</v>
      </c>
      <c r="K46" s="102">
        <f t="shared" si="18"/>
        <v>-494.50000000000006</v>
      </c>
      <c r="L46" s="102">
        <f t="shared" si="18"/>
        <v>-302</v>
      </c>
      <c r="M46" s="102">
        <f t="shared" si="18"/>
        <v>-318</v>
      </c>
      <c r="N46" s="102">
        <f t="shared" si="18"/>
        <v>-331</v>
      </c>
      <c r="O46" s="102">
        <f t="shared" si="18"/>
        <v>-343</v>
      </c>
      <c r="P46" s="102">
        <f t="shared" si="18"/>
        <v>-356</v>
      </c>
      <c r="Q46" s="102">
        <f t="shared" si="18"/>
        <v>-368</v>
      </c>
      <c r="R46" s="102">
        <f t="shared" si="18"/>
        <v>-475</v>
      </c>
    </row>
    <row r="47" spans="1:86" s="51" customFormat="1" x14ac:dyDescent="0.25">
      <c r="A47" s="1"/>
      <c r="B47" s="71" t="s">
        <v>16</v>
      </c>
      <c r="C47" s="72">
        <f>C46/C11</f>
        <v>-3.1543837357052101E-2</v>
      </c>
      <c r="D47" s="72">
        <f>D46/D11</f>
        <v>-2.580896903481145E-2</v>
      </c>
      <c r="E47" s="72">
        <f>E46/E11</f>
        <v>-3.595276719357151E-2</v>
      </c>
      <c r="F47" s="72">
        <f>F46/F11</f>
        <v>-3.8282057730460783E-2</v>
      </c>
      <c r="G47" s="72">
        <f>G46/G11</f>
        <v>-4.1337849280270955E-2</v>
      </c>
      <c r="H47" s="72">
        <f>H46/H11</f>
        <v>-4.114532077416936E-2</v>
      </c>
      <c r="I47" s="73">
        <v>-5.8886056971514243E-2</v>
      </c>
      <c r="J47" s="74">
        <v>-7.9844023323615176E-2</v>
      </c>
      <c r="K47" s="74">
        <v>-6.8490304709141289E-2</v>
      </c>
      <c r="L47" s="74">
        <v>-3.9947089947089953E-2</v>
      </c>
      <c r="M47" s="74">
        <v>-4.0355329949238586E-2</v>
      </c>
      <c r="N47" s="74">
        <v>-4.0072639225181596E-2</v>
      </c>
      <c r="O47" s="74">
        <v>-3.9976689976689975E-2</v>
      </c>
      <c r="P47" s="74">
        <v>-4.0044994375703039E-2</v>
      </c>
      <c r="Q47" s="74">
        <v>-4.0043525571273123E-2</v>
      </c>
      <c r="R47" s="74">
        <v>-4.9947423764458466E-2</v>
      </c>
    </row>
    <row r="48" spans="1:86" s="51" customFormat="1" x14ac:dyDescent="0.25">
      <c r="A48" s="1"/>
      <c r="B48" s="1"/>
      <c r="C48" s="1"/>
      <c r="D48" s="1"/>
      <c r="E48" s="2"/>
      <c r="F48" s="1"/>
      <c r="G48" s="1"/>
      <c r="H48" s="1"/>
      <c r="I48" s="12"/>
      <c r="J48" s="104"/>
      <c r="K48" s="104"/>
      <c r="L48" s="104"/>
      <c r="M48" s="104"/>
      <c r="N48" s="104"/>
      <c r="O48" s="104"/>
      <c r="P48" s="104"/>
      <c r="Q48" s="104"/>
      <c r="R48" s="104"/>
    </row>
    <row r="49" spans="1:86" s="51" customFormat="1" x14ac:dyDescent="0.25">
      <c r="A49" s="1"/>
      <c r="B49" s="1" t="s">
        <v>22</v>
      </c>
      <c r="C49" s="11">
        <f>SUM('Raw CF'!J25:J32)</f>
        <v>107.4</v>
      </c>
      <c r="D49" s="11">
        <f>SUM('Raw CF'!K25:K32)</f>
        <v>-50.199999999999996</v>
      </c>
      <c r="E49" s="11">
        <f>SUM('Raw CF'!L25:L32)</f>
        <v>-63.79999999999999</v>
      </c>
      <c r="F49" s="66">
        <f>SUM('Raw CF'!D28:D36)</f>
        <v>-175.39999999999998</v>
      </c>
      <c r="G49" s="66">
        <f>SUM('Raw CF'!E28:E36)</f>
        <v>-90.199999999999989</v>
      </c>
      <c r="H49" s="66">
        <f>SUM('Raw CF'!F28:F36)</f>
        <v>-148.30000000000004</v>
      </c>
      <c r="I49" s="20">
        <f>I50*I11</f>
        <v>93.38</v>
      </c>
      <c r="J49" s="102">
        <f>J50*J11</f>
        <v>96.039999999999992</v>
      </c>
      <c r="K49" s="102">
        <f>K50*K11</f>
        <v>101.07999999999998</v>
      </c>
      <c r="L49" s="102">
        <f>L50*L11</f>
        <v>105.83999999999999</v>
      </c>
      <c r="M49" s="102">
        <f>M50*M11</f>
        <v>110.32</v>
      </c>
      <c r="N49" s="102">
        <f>N50*N11</f>
        <v>115.64</v>
      </c>
      <c r="O49" s="102">
        <f>O50*O11</f>
        <v>120.12</v>
      </c>
      <c r="P49" s="102">
        <f>P50*P11</f>
        <v>124.46000000000001</v>
      </c>
      <c r="Q49" s="102">
        <f>Q50*Q11</f>
        <v>128.66</v>
      </c>
      <c r="R49" s="102">
        <f>R50*R11</f>
        <v>133.14000000000001</v>
      </c>
    </row>
    <row r="50" spans="1:86" s="51" customFormat="1" x14ac:dyDescent="0.25">
      <c r="A50" s="1"/>
      <c r="B50" s="71" t="s">
        <v>16</v>
      </c>
      <c r="C50" s="72">
        <f>C49/C11</f>
        <v>3.4116899618805589E-2</v>
      </c>
      <c r="D50" s="72">
        <f>D49/D11</f>
        <v>-1.3991471334206638E-2</v>
      </c>
      <c r="E50" s="72">
        <f>E49/E11</f>
        <v>-1.2034556909495604E-2</v>
      </c>
      <c r="F50" s="72">
        <f>F49/F11</f>
        <v>-4.9012211138122777E-2</v>
      </c>
      <c r="G50" s="72">
        <f>G49/G11</f>
        <v>-1.5275190516511428E-2</v>
      </c>
      <c r="H50" s="72">
        <f>H49/H11</f>
        <v>-2.3165721605198628E-2</v>
      </c>
      <c r="I50" s="76">
        <v>1.4E-2</v>
      </c>
      <c r="J50" s="105">
        <v>1.4E-2</v>
      </c>
      <c r="K50" s="105">
        <v>1.4E-2</v>
      </c>
      <c r="L50" s="105">
        <v>1.4E-2</v>
      </c>
      <c r="M50" s="105">
        <v>1.4E-2</v>
      </c>
      <c r="N50" s="105">
        <v>1.4E-2</v>
      </c>
      <c r="O50" s="105">
        <v>1.4E-2</v>
      </c>
      <c r="P50" s="105">
        <v>1.4E-2</v>
      </c>
      <c r="Q50" s="105">
        <v>1.4E-2</v>
      </c>
      <c r="R50" s="105">
        <v>1.4E-2</v>
      </c>
    </row>
    <row r="51" spans="1:86" s="51" customFormat="1" x14ac:dyDescent="0.25">
      <c r="A51" s="1"/>
      <c r="B51" s="1"/>
      <c r="C51" s="1"/>
      <c r="D51" s="1"/>
      <c r="E51" s="1"/>
      <c r="F51" s="1"/>
      <c r="G51" s="1"/>
      <c r="H51" s="1"/>
      <c r="I51" s="12"/>
      <c r="J51" s="104"/>
      <c r="K51" s="104"/>
      <c r="L51" s="104"/>
      <c r="M51" s="104"/>
      <c r="N51" s="104"/>
      <c r="O51" s="104"/>
      <c r="P51" s="104"/>
      <c r="Q51" s="104"/>
      <c r="R51" s="104"/>
    </row>
    <row r="52" spans="1:86" s="51" customFormat="1" x14ac:dyDescent="0.25">
      <c r="A52" s="1"/>
      <c r="B52" s="9" t="s">
        <v>23</v>
      </c>
      <c r="C52" s="11">
        <f>C36+C39</f>
        <v>944.2</v>
      </c>
      <c r="D52" s="11">
        <f t="shared" ref="D52:H52" si="19">D36+D39</f>
        <v>637.70000000000016</v>
      </c>
      <c r="E52" s="11">
        <f t="shared" si="19"/>
        <v>528.89999999999964</v>
      </c>
      <c r="F52" s="11">
        <f t="shared" si="19"/>
        <v>-245.10000000000028</v>
      </c>
      <c r="G52" s="11">
        <f t="shared" si="19"/>
        <v>940.99999999999989</v>
      </c>
      <c r="H52" s="11">
        <f>H36+H39</f>
        <v>1020.3999999999993</v>
      </c>
      <c r="I52" s="38">
        <f t="shared" ref="I52:R52" si="20">I36+I39</f>
        <v>1082.4818419999999</v>
      </c>
      <c r="J52" s="106">
        <f t="shared" si="20"/>
        <v>906.64554099999987</v>
      </c>
      <c r="K52" s="106">
        <f t="shared" si="20"/>
        <v>1033.3375199999998</v>
      </c>
      <c r="L52" s="106">
        <f t="shared" si="20"/>
        <v>1175.8856499999997</v>
      </c>
      <c r="M52" s="106">
        <f t="shared" si="20"/>
        <v>1321.8758499999999</v>
      </c>
      <c r="N52" s="106">
        <f t="shared" si="20"/>
        <v>1480.0915000000002</v>
      </c>
      <c r="O52" s="106">
        <f t="shared" si="20"/>
        <v>1620.7326</v>
      </c>
      <c r="P52" s="106">
        <f t="shared" si="20"/>
        <v>1711.2724500000002</v>
      </c>
      <c r="Q52" s="106">
        <f t="shared" si="20"/>
        <v>1807.7201500000001</v>
      </c>
      <c r="R52" s="106">
        <f t="shared" si="20"/>
        <v>1889.4242999999999</v>
      </c>
    </row>
    <row r="53" spans="1:86" s="51" customFormat="1" x14ac:dyDescent="0.25">
      <c r="A53" s="1"/>
      <c r="B53" s="9" t="s">
        <v>50</v>
      </c>
      <c r="C53" s="11">
        <v>0</v>
      </c>
      <c r="D53" s="11">
        <v>0</v>
      </c>
      <c r="E53" s="11">
        <v>0.8</v>
      </c>
      <c r="F53" s="99">
        <f>'Raw IS'!D32</f>
        <v>-0.4</v>
      </c>
      <c r="G53" s="99">
        <f>'Raw IS'!E32</f>
        <v>0.30000000000000004</v>
      </c>
      <c r="H53" s="99">
        <f>'Raw IS'!F32</f>
        <v>0.4</v>
      </c>
      <c r="I53" s="38"/>
      <c r="J53" s="106"/>
      <c r="K53" s="106"/>
      <c r="L53" s="106"/>
      <c r="M53" s="106"/>
      <c r="N53" s="106"/>
      <c r="O53" s="106"/>
      <c r="P53" s="106"/>
      <c r="Q53" s="106"/>
      <c r="R53" s="106"/>
    </row>
    <row r="54" spans="1:86" s="51" customFormat="1" x14ac:dyDescent="0.25">
      <c r="A54" s="1"/>
      <c r="B54" s="9" t="s">
        <v>24</v>
      </c>
      <c r="C54" s="11">
        <f>C34+C39+C53</f>
        <v>473.40000000000003</v>
      </c>
      <c r="D54" s="11">
        <f t="shared" ref="D54:H54" si="21">D34+D39+D53</f>
        <v>93.500000000000085</v>
      </c>
      <c r="E54" s="11">
        <f t="shared" si="21"/>
        <v>43.899999999999622</v>
      </c>
      <c r="F54" s="11">
        <f t="shared" si="21"/>
        <v>-669.50000000000023</v>
      </c>
      <c r="G54" s="11">
        <f t="shared" si="21"/>
        <v>420.7999999999999</v>
      </c>
      <c r="H54" s="11">
        <f>H34+H39+H53</f>
        <v>222.09999999999928</v>
      </c>
      <c r="I54" s="38">
        <f>I34+I39+I53</f>
        <v>752.98384199999987</v>
      </c>
      <c r="J54" s="106">
        <f t="shared" ref="J54" si="22">J34+J39+J53</f>
        <v>296.10554100000002</v>
      </c>
      <c r="K54" s="106">
        <f t="shared" ref="K54" si="23">K34+K39+K53</f>
        <v>419.63751999999982</v>
      </c>
      <c r="L54" s="106">
        <f t="shared" ref="L54" si="24">L34+L39+L53</f>
        <v>563.52564999999981</v>
      </c>
      <c r="M54" s="106">
        <f t="shared" ref="M54" si="25">M34+M39+M53</f>
        <v>715.1158499999998</v>
      </c>
      <c r="N54" s="106">
        <f t="shared" ref="N54" si="26">N34+N39+N53</f>
        <v>819.29150000000004</v>
      </c>
      <c r="O54" s="106">
        <f t="shared" ref="O54" si="27">O34+O39+O53</f>
        <v>921.46260000000007</v>
      </c>
      <c r="P54" s="106">
        <f t="shared" ref="P54" si="28">P34+P39+P53</f>
        <v>1000.0724500000001</v>
      </c>
      <c r="Q54" s="106">
        <f t="shared" ref="Q54" si="29">Q34+Q39+Q53</f>
        <v>1072.5201500000003</v>
      </c>
      <c r="R54" s="106">
        <f t="shared" ref="R54" si="30">R34+R39+R53</f>
        <v>1128.6242999999997</v>
      </c>
      <c r="S54" s="52">
        <f>R54*(1+$E$6)</f>
        <v>1151.1967859999997</v>
      </c>
      <c r="T54" s="52">
        <f t="shared" ref="T54:CE54" si="31">S54*(1+$E$6)</f>
        <v>1174.2207217199998</v>
      </c>
      <c r="U54" s="52">
        <f t="shared" si="31"/>
        <v>1197.7051361543997</v>
      </c>
      <c r="V54" s="52">
        <f t="shared" si="31"/>
        <v>1221.6592388774877</v>
      </c>
      <c r="W54" s="52">
        <f t="shared" si="31"/>
        <v>1246.0924236550375</v>
      </c>
      <c r="X54" s="52">
        <f t="shared" si="31"/>
        <v>1271.0142721281381</v>
      </c>
      <c r="Y54" s="52">
        <f t="shared" si="31"/>
        <v>1296.4345575707009</v>
      </c>
      <c r="Z54" s="52">
        <f t="shared" si="31"/>
        <v>1322.363248722115</v>
      </c>
      <c r="AA54" s="52">
        <f t="shared" si="31"/>
        <v>1348.8105136965573</v>
      </c>
      <c r="AB54" s="52">
        <f t="shared" si="31"/>
        <v>1375.7867239704885</v>
      </c>
      <c r="AC54" s="52">
        <f t="shared" si="31"/>
        <v>1403.3024584498983</v>
      </c>
      <c r="AD54" s="52">
        <f t="shared" si="31"/>
        <v>1431.3685076188963</v>
      </c>
      <c r="AE54" s="52">
        <f t="shared" si="31"/>
        <v>1459.9958777712743</v>
      </c>
      <c r="AF54" s="52">
        <f t="shared" si="31"/>
        <v>1489.1957953266999</v>
      </c>
      <c r="AG54" s="52">
        <f t="shared" si="31"/>
        <v>1518.979711233234</v>
      </c>
      <c r="AH54" s="52">
        <f t="shared" si="31"/>
        <v>1549.3593054578987</v>
      </c>
      <c r="AI54" s="52">
        <f t="shared" si="31"/>
        <v>1580.3464915670568</v>
      </c>
      <c r="AJ54" s="52">
        <f t="shared" si="31"/>
        <v>1611.9534213983979</v>
      </c>
      <c r="AK54" s="52">
        <f t="shared" si="31"/>
        <v>1644.192489826366</v>
      </c>
      <c r="AL54" s="52">
        <f t="shared" si="31"/>
        <v>1677.0763396228933</v>
      </c>
      <c r="AM54" s="52">
        <f t="shared" si="31"/>
        <v>1710.6178664153513</v>
      </c>
      <c r="AN54" s="52">
        <f t="shared" si="31"/>
        <v>1744.8302237436583</v>
      </c>
      <c r="AO54" s="52">
        <f t="shared" si="31"/>
        <v>1779.7268282185314</v>
      </c>
      <c r="AP54" s="52">
        <f t="shared" si="31"/>
        <v>1815.321364782902</v>
      </c>
      <c r="AQ54" s="52">
        <f t="shared" si="31"/>
        <v>1851.6277920785601</v>
      </c>
      <c r="AR54" s="52">
        <f t="shared" si="31"/>
        <v>1888.6603479201312</v>
      </c>
      <c r="AS54" s="52">
        <f t="shared" si="31"/>
        <v>1926.4335548785339</v>
      </c>
      <c r="AT54" s="52">
        <f t="shared" si="31"/>
        <v>1964.9622259761045</v>
      </c>
      <c r="AU54" s="52">
        <f t="shared" si="31"/>
        <v>2004.2614704956266</v>
      </c>
      <c r="AV54" s="52">
        <f t="shared" si="31"/>
        <v>2044.346699905539</v>
      </c>
      <c r="AW54" s="52">
        <f t="shared" si="31"/>
        <v>2085.2336339036497</v>
      </c>
      <c r="AX54" s="52">
        <f t="shared" si="31"/>
        <v>2126.9383065817228</v>
      </c>
      <c r="AY54" s="52">
        <f t="shared" si="31"/>
        <v>2169.4770727133573</v>
      </c>
      <c r="AZ54" s="52">
        <f t="shared" si="31"/>
        <v>2212.8666141676244</v>
      </c>
      <c r="BA54" s="52">
        <f t="shared" si="31"/>
        <v>2257.1239464509772</v>
      </c>
      <c r="BB54" s="52">
        <f t="shared" si="31"/>
        <v>2302.2664253799967</v>
      </c>
      <c r="BC54" s="52">
        <f t="shared" si="31"/>
        <v>2348.3117538875968</v>
      </c>
      <c r="BD54" s="52">
        <f t="shared" si="31"/>
        <v>2395.2779889653489</v>
      </c>
      <c r="BE54" s="52">
        <f t="shared" si="31"/>
        <v>2443.183548744656</v>
      </c>
      <c r="BF54" s="52">
        <f t="shared" si="31"/>
        <v>2492.047219719549</v>
      </c>
      <c r="BG54" s="52">
        <f t="shared" si="31"/>
        <v>2541.8881641139401</v>
      </c>
      <c r="BH54" s="52">
        <f t="shared" si="31"/>
        <v>2592.725927396219</v>
      </c>
      <c r="BI54" s="52">
        <f t="shared" si="31"/>
        <v>2644.5804459441433</v>
      </c>
      <c r="BJ54" s="52">
        <f t="shared" si="31"/>
        <v>2697.4720548630262</v>
      </c>
      <c r="BK54" s="52">
        <f t="shared" si="31"/>
        <v>2751.4214959602868</v>
      </c>
      <c r="BL54" s="52">
        <f t="shared" si="31"/>
        <v>2806.4499258794926</v>
      </c>
      <c r="BM54" s="52">
        <f t="shared" si="31"/>
        <v>2862.5789243970826</v>
      </c>
      <c r="BN54" s="52">
        <f t="shared" si="31"/>
        <v>2919.8305028850241</v>
      </c>
      <c r="BO54" s="52">
        <f t="shared" si="31"/>
        <v>2978.2271129427245</v>
      </c>
      <c r="BP54" s="52">
        <f t="shared" si="31"/>
        <v>3037.791655201579</v>
      </c>
      <c r="BQ54" s="52">
        <f t="shared" si="31"/>
        <v>3098.5474883056108</v>
      </c>
      <c r="BR54" s="52">
        <f t="shared" si="31"/>
        <v>3160.5184380717233</v>
      </c>
      <c r="BS54" s="52">
        <f t="shared" si="31"/>
        <v>3223.7288068331577</v>
      </c>
      <c r="BT54" s="52">
        <f t="shared" si="31"/>
        <v>3288.2033829698207</v>
      </c>
      <c r="BU54" s="52">
        <f t="shared" si="31"/>
        <v>3353.9674506292172</v>
      </c>
      <c r="BV54" s="52">
        <f t="shared" si="31"/>
        <v>3421.0467996418015</v>
      </c>
      <c r="BW54" s="52">
        <f t="shared" si="31"/>
        <v>3489.4677356346374</v>
      </c>
      <c r="BX54" s="52">
        <f t="shared" si="31"/>
        <v>3559.2570903473302</v>
      </c>
      <c r="BY54" s="52">
        <f t="shared" si="31"/>
        <v>3630.442232154277</v>
      </c>
      <c r="BZ54" s="52">
        <f t="shared" si="31"/>
        <v>3703.0510767973628</v>
      </c>
      <c r="CA54" s="52">
        <f t="shared" si="31"/>
        <v>3777.1120983333103</v>
      </c>
      <c r="CB54" s="52">
        <f t="shared" si="31"/>
        <v>3852.6543402999764</v>
      </c>
      <c r="CC54" s="52">
        <f t="shared" si="31"/>
        <v>3929.707427105976</v>
      </c>
      <c r="CD54" s="52">
        <f t="shared" si="31"/>
        <v>4008.3015756480954</v>
      </c>
      <c r="CE54" s="52">
        <f t="shared" si="31"/>
        <v>4088.4676071610575</v>
      </c>
      <c r="CF54" s="52">
        <f t="shared" ref="CF54:CH54" si="32">CE54*(1+$E$6)</f>
        <v>4170.2369593042786</v>
      </c>
      <c r="CG54" s="52">
        <f t="shared" si="32"/>
        <v>4253.6416984903644</v>
      </c>
      <c r="CH54" s="52">
        <f t="shared" si="32"/>
        <v>4338.7145324601715</v>
      </c>
    </row>
    <row r="55" spans="1:86" s="51" customFormat="1" x14ac:dyDescent="0.25">
      <c r="A55" s="1"/>
      <c r="B55" s="6"/>
      <c r="C55" s="11"/>
      <c r="D55" s="11"/>
      <c r="E55" s="11"/>
      <c r="F55" s="11"/>
      <c r="G55" s="11"/>
      <c r="H55" s="11"/>
      <c r="I55" s="12"/>
      <c r="J55" s="104"/>
      <c r="K55" s="104"/>
      <c r="L55" s="104"/>
      <c r="M55" s="104"/>
      <c r="N55" s="104"/>
      <c r="O55" s="104"/>
      <c r="P55" s="104"/>
      <c r="Q55" s="104"/>
      <c r="R55" s="104"/>
    </row>
    <row r="56" spans="1:86" s="51" customFormat="1" x14ac:dyDescent="0.25">
      <c r="A56" s="1"/>
      <c r="B56" s="9" t="s">
        <v>25</v>
      </c>
      <c r="C56" s="11">
        <f>C52+C46-C49</f>
        <v>737.50000000000011</v>
      </c>
      <c r="D56" s="11">
        <f t="shared" ref="D56:R56" si="33">D52+D46-D49</f>
        <v>595.30000000000018</v>
      </c>
      <c r="E56" s="11">
        <f t="shared" si="33"/>
        <v>402.09999999999962</v>
      </c>
      <c r="F56" s="11">
        <f t="shared" si="33"/>
        <v>-206.70000000000027</v>
      </c>
      <c r="G56" s="11">
        <f t="shared" si="33"/>
        <v>787.09999999999991</v>
      </c>
      <c r="H56" s="11">
        <f t="shared" si="33"/>
        <v>905.29999999999939</v>
      </c>
      <c r="I56" s="38">
        <f t="shared" si="33"/>
        <v>596.33184199999994</v>
      </c>
      <c r="J56" s="11">
        <f t="shared" si="33"/>
        <v>262.87554099999988</v>
      </c>
      <c r="K56" s="11">
        <f t="shared" si="33"/>
        <v>437.75751999999983</v>
      </c>
      <c r="L56" s="11">
        <f t="shared" si="33"/>
        <v>768.04564999999968</v>
      </c>
      <c r="M56" s="11">
        <f t="shared" si="33"/>
        <v>893.55584999999996</v>
      </c>
      <c r="N56" s="11">
        <f t="shared" si="33"/>
        <v>1033.4515000000001</v>
      </c>
      <c r="O56" s="11">
        <f t="shared" si="33"/>
        <v>1157.6125999999999</v>
      </c>
      <c r="P56" s="11">
        <f t="shared" si="33"/>
        <v>1230.8124500000001</v>
      </c>
      <c r="Q56" s="11">
        <f t="shared" si="33"/>
        <v>1311.06015</v>
      </c>
      <c r="R56" s="11">
        <f t="shared" si="33"/>
        <v>1281.2842999999998</v>
      </c>
    </row>
    <row r="57" spans="1:86" s="51" customFormat="1" x14ac:dyDescent="0.25">
      <c r="A57" s="1"/>
      <c r="B57" s="24" t="s">
        <v>26</v>
      </c>
      <c r="C57" s="1"/>
      <c r="D57" s="1"/>
      <c r="E57" s="1"/>
      <c r="F57" s="1"/>
      <c r="G57" s="1"/>
      <c r="H57" s="1"/>
      <c r="I57" s="68">
        <f>I56/((1+$E$5)^I9)</f>
        <v>532.12124018399925</v>
      </c>
      <c r="J57" s="69">
        <f>J56/((1+$E$5)^J9)</f>
        <v>209.31259846084413</v>
      </c>
      <c r="K57" s="69">
        <f>K56/((1+$E$5)^K9)</f>
        <v>311.02936942074246</v>
      </c>
      <c r="L57" s="69">
        <f>L56/((1+$E$5)^L9)</f>
        <v>486.94219957287305</v>
      </c>
      <c r="M57" s="69">
        <f>M56/((1+$E$5)^M9)</f>
        <v>505.51573316719146</v>
      </c>
      <c r="N57" s="69">
        <f>N56/((1+$E$5)^N9)</f>
        <v>521.70580490711484</v>
      </c>
      <c r="O57" s="69">
        <f>O56/((1+$E$5)^O9)</f>
        <v>521.46049090148244</v>
      </c>
      <c r="P57" s="69">
        <f>P56/((1+$E$5)^P9)</f>
        <v>494.73500434271205</v>
      </c>
      <c r="Q57" s="69">
        <f>Q56/((1+$E$5)^Q9)</f>
        <v>470.2469319520971</v>
      </c>
      <c r="R57" s="69">
        <f>R56/((1+$E$5)^R9)</f>
        <v>410.08270459157501</v>
      </c>
    </row>
    <row r="58" spans="1:86" s="51" customFormat="1" x14ac:dyDescent="0.25">
      <c r="A58" s="1"/>
      <c r="B58" s="25"/>
      <c r="C58" s="25"/>
      <c r="D58" s="25"/>
      <c r="E58" s="25"/>
      <c r="F58" s="25"/>
      <c r="G58" s="25"/>
      <c r="H58" s="25"/>
      <c r="I58" s="70"/>
      <c r="J58" s="1"/>
      <c r="K58" s="1"/>
      <c r="L58" s="1"/>
      <c r="M58" s="1"/>
      <c r="N58" s="1"/>
      <c r="O58" s="1"/>
      <c r="P58" s="1"/>
      <c r="Q58" s="1"/>
      <c r="R58" s="1"/>
    </row>
    <row r="59" spans="1:86" s="51" customFormat="1" x14ac:dyDescent="0.25">
      <c r="A59" s="1"/>
      <c r="B59" s="1" t="s">
        <v>27</v>
      </c>
      <c r="C59" s="26">
        <f>(R56*(1+$E$6))/($E$5-$E$6)</f>
        <v>12982.23313440781</v>
      </c>
      <c r="D59" s="1"/>
      <c r="E59" s="1" t="s">
        <v>28</v>
      </c>
      <c r="F59" s="18">
        <f>NPV($E$5,I54:CH54)</f>
        <v>7598.1560448853397</v>
      </c>
      <c r="G59" s="1"/>
      <c r="H59" s="1"/>
      <c r="I59" s="15"/>
      <c r="J59" s="1"/>
      <c r="K59" s="1"/>
      <c r="L59" s="1"/>
      <c r="M59" s="1"/>
      <c r="N59" s="1"/>
      <c r="O59" s="1"/>
      <c r="P59" s="1"/>
      <c r="Q59" s="1"/>
      <c r="R59" s="2"/>
    </row>
    <row r="60" spans="1:86" s="51" customFormat="1" x14ac:dyDescent="0.25">
      <c r="A60" s="1"/>
      <c r="B60" s="3" t="s">
        <v>29</v>
      </c>
      <c r="C60" s="27">
        <f>C59/((1+$E$5)^$R$9)</f>
        <v>4155.0413716895737</v>
      </c>
      <c r="D60" s="16"/>
      <c r="E60" s="3"/>
      <c r="F60" s="3"/>
      <c r="G60" s="3"/>
      <c r="H60" s="16"/>
      <c r="I60" s="12"/>
      <c r="J60" s="1"/>
      <c r="K60" s="2"/>
      <c r="L60" s="89" t="s">
        <v>56</v>
      </c>
      <c r="M60" s="89"/>
      <c r="N60" s="89"/>
      <c r="O60" s="89"/>
      <c r="P60" s="89"/>
      <c r="Q60" s="89"/>
      <c r="R60" s="2"/>
    </row>
    <row r="61" spans="1:86" x14ac:dyDescent="0.25">
      <c r="A61" s="1"/>
      <c r="B61" s="6" t="s">
        <v>30</v>
      </c>
      <c r="C61" s="6"/>
      <c r="D61" s="1"/>
      <c r="E61" s="6"/>
      <c r="F61" s="6"/>
      <c r="G61" s="28" t="s">
        <v>31</v>
      </c>
      <c r="H61" s="28" t="s">
        <v>28</v>
      </c>
      <c r="I61" s="15"/>
      <c r="J61" s="1"/>
      <c r="K61" s="53"/>
      <c r="L61" s="58">
        <f>E67</f>
        <v>48.602459946843247</v>
      </c>
      <c r="M61" s="77">
        <v>-0.01</v>
      </c>
      <c r="N61" s="77">
        <v>0</v>
      </c>
      <c r="O61" s="77">
        <v>0.01</v>
      </c>
      <c r="P61" s="77">
        <v>0.02</v>
      </c>
      <c r="Q61" s="77">
        <v>0.03</v>
      </c>
    </row>
    <row r="62" spans="1:86" x14ac:dyDescent="0.25">
      <c r="A62" s="1"/>
      <c r="B62" s="29" t="s">
        <v>32</v>
      </c>
      <c r="C62" s="1"/>
      <c r="D62" s="23">
        <v>1311.3</v>
      </c>
      <c r="E62" s="1"/>
      <c r="F62" s="1"/>
      <c r="G62" s="26">
        <f>C60+SUM(I57:R57)</f>
        <v>8618.1934491902048</v>
      </c>
      <c r="H62" s="18">
        <f>F59</f>
        <v>7598.1560448853397</v>
      </c>
      <c r="I62" s="15"/>
      <c r="K62" s="53"/>
      <c r="L62" s="55">
        <f>L63-1%</f>
        <v>0.1006691200557935</v>
      </c>
      <c r="M62" s="59">
        <f t="dataTable" ref="M62:Q66" dt2D="1" dtr="1" r1="E6" r2="E5"/>
        <v>52.588974805282348</v>
      </c>
      <c r="N62" s="59">
        <v>55.2844583143129</v>
      </c>
      <c r="O62" s="59">
        <v>58.564395766690765</v>
      </c>
      <c r="P62" s="59">
        <v>62.635373223529896</v>
      </c>
      <c r="Q62" s="59">
        <v>67.809598963367279</v>
      </c>
    </row>
    <row r="63" spans="1:86" x14ac:dyDescent="0.25">
      <c r="A63" s="1"/>
      <c r="B63" s="30" t="s">
        <v>33</v>
      </c>
      <c r="C63" s="3"/>
      <c r="D63" s="81">
        <f>1271-45.9</f>
        <v>1225.0999999999999</v>
      </c>
      <c r="E63" s="3"/>
      <c r="F63" s="3"/>
      <c r="G63" s="3"/>
      <c r="H63" s="3"/>
      <c r="I63" s="15"/>
      <c r="K63" s="54"/>
      <c r="L63" s="55">
        <f>L64-1%</f>
        <v>0.11066912005579349</v>
      </c>
      <c r="M63" s="59">
        <v>47.245087653199406</v>
      </c>
      <c r="N63" s="60">
        <v>49.321319878833151</v>
      </c>
      <c r="O63" s="60">
        <v>51.805536073580853</v>
      </c>
      <c r="P63" s="60">
        <v>54.827996483330452</v>
      </c>
      <c r="Q63" s="59">
        <v>58.578658215687163</v>
      </c>
      <c r="R63" s="47"/>
    </row>
    <row r="64" spans="1:86" x14ac:dyDescent="0.25">
      <c r="A64" s="1"/>
      <c r="B64" s="6" t="s">
        <v>34</v>
      </c>
      <c r="C64" s="6"/>
      <c r="D64" s="6"/>
      <c r="E64" s="6"/>
      <c r="F64" s="6"/>
      <c r="G64" s="31">
        <f>G62+D62-D63</f>
        <v>8704.3934491902037</v>
      </c>
      <c r="H64" s="32">
        <f>H62+D62-D63</f>
        <v>7684.3560448853386</v>
      </c>
      <c r="I64" s="15"/>
      <c r="K64" s="53" t="s">
        <v>1</v>
      </c>
      <c r="L64" s="55">
        <v>0.12066912005579349</v>
      </c>
      <c r="M64" s="59">
        <v>42.772588451289614</v>
      </c>
      <c r="N64" s="60">
        <v>44.396248940130249</v>
      </c>
      <c r="O64" s="61">
        <v>46.311299967062361</v>
      </c>
      <c r="P64" s="60">
        <v>48.602459946843247</v>
      </c>
      <c r="Q64" s="59">
        <v>51.389658365765087</v>
      </c>
    </row>
    <row r="65" spans="1:17" x14ac:dyDescent="0.25">
      <c r="A65" s="1"/>
      <c r="B65" s="3" t="s">
        <v>35</v>
      </c>
      <c r="C65" s="3"/>
      <c r="D65" s="37">
        <v>168.6</v>
      </c>
      <c r="E65" s="3"/>
      <c r="F65" s="3"/>
      <c r="G65" s="3"/>
      <c r="H65" s="33"/>
      <c r="I65" s="15"/>
      <c r="K65" s="53"/>
      <c r="L65" s="56">
        <f>L64+1%</f>
        <v>0.13066912005579348</v>
      </c>
      <c r="M65" s="59">
        <v>38.983016870854193</v>
      </c>
      <c r="N65" s="60">
        <v>40.269491600670563</v>
      </c>
      <c r="O65" s="60">
        <v>41.768256201951374</v>
      </c>
      <c r="P65" s="60">
        <v>43.535894467878492</v>
      </c>
      <c r="Q65" s="59">
        <v>45.650498675521284</v>
      </c>
    </row>
    <row r="66" spans="1:17" x14ac:dyDescent="0.25">
      <c r="A66" s="1"/>
      <c r="B66" s="17" t="s">
        <v>36</v>
      </c>
      <c r="C66" s="17"/>
      <c r="D66" s="62">
        <f>D65*$J$5</f>
        <v>4607.8379999999997</v>
      </c>
      <c r="E66" s="17"/>
      <c r="F66" s="17"/>
      <c r="G66" s="17"/>
      <c r="H66" s="34"/>
      <c r="I66" s="1"/>
      <c r="K66" s="53"/>
      <c r="L66" s="56">
        <f>L65+1%</f>
        <v>0.14066912005579349</v>
      </c>
      <c r="M66" s="59">
        <v>35.737779426143945</v>
      </c>
      <c r="N66" s="59">
        <v>36.768798869313201</v>
      </c>
      <c r="O66" s="59">
        <v>37.957190614673593</v>
      </c>
      <c r="P66" s="59">
        <v>39.341634998619774</v>
      </c>
      <c r="Q66" s="59">
        <v>40.97434681506676</v>
      </c>
    </row>
    <row r="67" spans="1:17" x14ac:dyDescent="0.25">
      <c r="A67" s="1"/>
      <c r="B67" s="6" t="s">
        <v>37</v>
      </c>
      <c r="D67" s="6" t="s">
        <v>38</v>
      </c>
      <c r="E67" s="35">
        <f>(G67+H67)/2</f>
        <v>48.602459946843247</v>
      </c>
      <c r="F67" s="6"/>
      <c r="G67" s="35">
        <f>G64/D65</f>
        <v>51.627481905042728</v>
      </c>
      <c r="H67" s="36">
        <f>H64/D65</f>
        <v>45.577437988643766</v>
      </c>
      <c r="I67" s="15"/>
    </row>
    <row r="68" spans="1:17" x14ac:dyDescent="0.25">
      <c r="B68" s="40"/>
      <c r="C68" s="40"/>
      <c r="D68" s="40"/>
      <c r="E68" s="40"/>
      <c r="F68" s="40"/>
      <c r="G68" s="40"/>
      <c r="H68" s="40"/>
      <c r="I68" s="22"/>
    </row>
  </sheetData>
  <sortState xmlns:xlrd2="http://schemas.microsoft.com/office/spreadsheetml/2017/richdata2" columnSort="1" ref="C10:H57">
    <sortCondition ref="C10:H10"/>
  </sortState>
  <mergeCells count="1">
    <mergeCell ref="L60:Q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S43"/>
  <sheetViews>
    <sheetView topLeftCell="A25" workbookViewId="0">
      <selection activeCell="I34" sqref="I34"/>
    </sheetView>
  </sheetViews>
  <sheetFormatPr defaultRowHeight="15" x14ac:dyDescent="0.25"/>
  <cols>
    <col min="4" max="6" width="13.42578125" customWidth="1"/>
    <col min="8" max="8" width="32.140625" customWidth="1"/>
    <col min="9" max="11" width="13.5703125" customWidth="1"/>
  </cols>
  <sheetData>
    <row r="1" spans="1:19" x14ac:dyDescent="0.25">
      <c r="A1" s="90" t="s">
        <v>75</v>
      </c>
      <c r="B1" s="90"/>
      <c r="C1" s="90"/>
      <c r="D1" s="90"/>
      <c r="E1" s="90"/>
      <c r="F1" s="90"/>
      <c r="H1" s="90" t="s">
        <v>128</v>
      </c>
      <c r="I1" s="90"/>
      <c r="J1" s="90"/>
      <c r="K1" s="90"/>
      <c r="L1" s="90"/>
      <c r="M1" s="90"/>
    </row>
    <row r="3" spans="1:19" x14ac:dyDescent="0.25"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spans="1:19" x14ac:dyDescent="0.25">
      <c r="A4" s="90"/>
      <c r="B4" s="90"/>
      <c r="C4" s="90"/>
      <c r="D4" s="93" t="s">
        <v>76</v>
      </c>
      <c r="E4" s="93"/>
      <c r="F4" s="93"/>
      <c r="G4" s="93"/>
    </row>
    <row r="5" spans="1:19" x14ac:dyDescent="0.25">
      <c r="A5" s="91" t="s">
        <v>77</v>
      </c>
      <c r="B5" s="91"/>
      <c r="C5" s="91"/>
      <c r="D5" s="83" t="s">
        <v>59</v>
      </c>
      <c r="E5" s="83" t="s">
        <v>58</v>
      </c>
      <c r="F5" s="83" t="s">
        <v>57</v>
      </c>
      <c r="G5" s="83"/>
      <c r="I5" s="94" t="s">
        <v>76</v>
      </c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 x14ac:dyDescent="0.25">
      <c r="A6" s="90" t="s">
        <v>78</v>
      </c>
      <c r="B6" s="90"/>
      <c r="C6" s="90"/>
      <c r="D6" s="83"/>
      <c r="E6" s="83"/>
      <c r="F6" s="83"/>
      <c r="G6" s="83"/>
      <c r="H6" s="88" t="s">
        <v>77</v>
      </c>
      <c r="I6" s="83" t="s">
        <v>129</v>
      </c>
      <c r="J6" s="83" t="s">
        <v>130</v>
      </c>
      <c r="K6" s="83" t="s">
        <v>131</v>
      </c>
      <c r="L6" s="83"/>
      <c r="M6" s="83"/>
      <c r="O6" s="83"/>
      <c r="P6" s="83"/>
      <c r="R6" s="83"/>
      <c r="S6" s="83"/>
    </row>
    <row r="7" spans="1:19" x14ac:dyDescent="0.25">
      <c r="A7" s="90" t="s">
        <v>63</v>
      </c>
      <c r="B7" s="90"/>
      <c r="C7" s="90"/>
      <c r="D7" s="86">
        <v>3051.1</v>
      </c>
      <c r="E7" s="86">
        <v>4945.3</v>
      </c>
      <c r="F7" s="86">
        <v>5201.7</v>
      </c>
      <c r="G7" s="86"/>
      <c r="H7" s="83" t="s">
        <v>78</v>
      </c>
    </row>
    <row r="8" spans="1:19" x14ac:dyDescent="0.25">
      <c r="A8" s="90" t="s">
        <v>79</v>
      </c>
      <c r="B8" s="90"/>
      <c r="C8" s="90"/>
      <c r="D8" s="84">
        <v>527.6</v>
      </c>
      <c r="E8" s="84">
        <v>959.7</v>
      </c>
      <c r="F8" s="84">
        <v>1200</v>
      </c>
      <c r="G8" s="84"/>
      <c r="H8" t="s">
        <v>63</v>
      </c>
      <c r="I8" s="95">
        <v>2692</v>
      </c>
      <c r="J8" s="95">
        <v>2894.9</v>
      </c>
      <c r="K8" s="95">
        <v>4268.7</v>
      </c>
      <c r="L8" s="95"/>
      <c r="O8" s="95"/>
      <c r="R8" s="95"/>
    </row>
    <row r="9" spans="1:19" x14ac:dyDescent="0.25">
      <c r="H9" t="s">
        <v>79</v>
      </c>
      <c r="I9" s="96">
        <v>601.70000000000005</v>
      </c>
      <c r="J9" s="96">
        <v>629.70000000000005</v>
      </c>
      <c r="K9" s="96">
        <v>1032.7</v>
      </c>
      <c r="L9" s="96"/>
      <c r="O9" s="96"/>
      <c r="R9" s="96"/>
    </row>
    <row r="10" spans="1:19" x14ac:dyDescent="0.25">
      <c r="H10" t="s">
        <v>132</v>
      </c>
      <c r="I10" s="96">
        <v>11.7</v>
      </c>
      <c r="J10" s="96">
        <v>6</v>
      </c>
      <c r="K10">
        <v>0</v>
      </c>
      <c r="O10" s="96"/>
      <c r="R10" s="96"/>
    </row>
    <row r="11" spans="1:19" x14ac:dyDescent="0.25">
      <c r="A11" s="90" t="s">
        <v>80</v>
      </c>
      <c r="B11" s="90"/>
      <c r="C11" s="90"/>
      <c r="D11" s="84">
        <v>3578.7</v>
      </c>
      <c r="E11" s="84">
        <v>5905</v>
      </c>
      <c r="F11" s="84">
        <v>6401.7</v>
      </c>
      <c r="G11" s="84"/>
      <c r="H11" t="s">
        <v>133</v>
      </c>
      <c r="I11" s="96">
        <v>26.1</v>
      </c>
      <c r="J11" s="96">
        <v>57.3</v>
      </c>
      <c r="K11">
        <v>0</v>
      </c>
      <c r="O11" s="96"/>
      <c r="R11" s="96"/>
    </row>
    <row r="12" spans="1:19" x14ac:dyDescent="0.25">
      <c r="A12" s="90" t="s">
        <v>81</v>
      </c>
      <c r="B12" s="90"/>
      <c r="C12" s="90"/>
      <c r="D12" s="83"/>
      <c r="E12" s="83"/>
      <c r="F12" s="83"/>
      <c r="G12" s="83"/>
      <c r="I12" s="96">
        <v>3331.5</v>
      </c>
      <c r="J12" s="96">
        <v>3587.9</v>
      </c>
      <c r="K12" s="96">
        <v>5301.4</v>
      </c>
      <c r="L12" s="96"/>
      <c r="O12" s="96"/>
      <c r="R12" s="96"/>
    </row>
    <row r="13" spans="1:19" x14ac:dyDescent="0.25">
      <c r="A13" s="90" t="s">
        <v>63</v>
      </c>
      <c r="B13" s="90"/>
      <c r="C13" s="90"/>
      <c r="D13" s="84">
        <v>1530.3</v>
      </c>
      <c r="E13" s="84">
        <v>2540.6999999999998</v>
      </c>
      <c r="F13" s="84">
        <v>2864.4</v>
      </c>
      <c r="G13" s="84"/>
      <c r="H13" t="s">
        <v>134</v>
      </c>
      <c r="I13" s="97">
        <v>-183.5</v>
      </c>
      <c r="J13" t="s">
        <v>60</v>
      </c>
      <c r="K13" t="s">
        <v>60</v>
      </c>
      <c r="R13" s="97"/>
    </row>
    <row r="14" spans="1:19" x14ac:dyDescent="0.25">
      <c r="A14" s="90" t="s">
        <v>79</v>
      </c>
      <c r="B14" s="90"/>
      <c r="C14" s="90"/>
      <c r="D14" s="84">
        <v>337.7</v>
      </c>
      <c r="E14" s="84">
        <v>607.29999999999995</v>
      </c>
      <c r="F14" s="84">
        <v>767.2</v>
      </c>
      <c r="G14" s="84"/>
      <c r="H14" s="83" t="s">
        <v>80</v>
      </c>
      <c r="I14" s="96">
        <v>3148</v>
      </c>
      <c r="J14" s="96">
        <v>3587.9</v>
      </c>
      <c r="K14" s="96">
        <v>5301.4</v>
      </c>
      <c r="L14" s="96"/>
      <c r="O14" s="96"/>
      <c r="R14" s="96"/>
    </row>
    <row r="15" spans="1:19" x14ac:dyDescent="0.25">
      <c r="A15" s="90" t="s">
        <v>82</v>
      </c>
      <c r="B15" s="90"/>
      <c r="C15" s="90"/>
      <c r="D15" s="84">
        <v>1130.8</v>
      </c>
      <c r="E15" s="84">
        <v>1352.9</v>
      </c>
      <c r="F15" s="84">
        <v>1110.4000000000001</v>
      </c>
      <c r="G15" s="84"/>
      <c r="H15" s="83" t="s">
        <v>81</v>
      </c>
    </row>
    <row r="16" spans="1:19" x14ac:dyDescent="0.25">
      <c r="H16" t="s">
        <v>63</v>
      </c>
      <c r="I16" s="96">
        <v>1365</v>
      </c>
      <c r="J16" s="96">
        <v>1551.4</v>
      </c>
      <c r="K16" s="96">
        <v>2281.8000000000002</v>
      </c>
      <c r="L16" s="96"/>
      <c r="O16" s="96"/>
      <c r="R16" s="96"/>
    </row>
    <row r="17" spans="1:18" x14ac:dyDescent="0.25">
      <c r="A17" s="90" t="s">
        <v>51</v>
      </c>
      <c r="B17" s="90"/>
      <c r="C17" s="90"/>
      <c r="D17" s="84">
        <v>366.7</v>
      </c>
      <c r="E17" s="84">
        <v>344.5</v>
      </c>
      <c r="F17" s="84">
        <v>567.5</v>
      </c>
      <c r="G17" s="84"/>
      <c r="H17" t="s">
        <v>79</v>
      </c>
      <c r="I17" s="96">
        <v>421.8</v>
      </c>
      <c r="J17" s="96">
        <v>439.3</v>
      </c>
      <c r="K17" s="96">
        <v>672.7</v>
      </c>
      <c r="L17" s="96">
        <f>SUM(I16:I22)</f>
        <v>2702.3</v>
      </c>
      <c r="O17" s="96"/>
      <c r="R17" s="96"/>
    </row>
    <row r="18" spans="1:18" x14ac:dyDescent="0.25">
      <c r="A18" s="90" t="s">
        <v>83</v>
      </c>
      <c r="B18" s="90"/>
      <c r="C18" s="90"/>
      <c r="D18" s="84">
        <v>623.4</v>
      </c>
      <c r="E18" s="83">
        <v>0</v>
      </c>
      <c r="F18" s="84">
        <v>118.2</v>
      </c>
      <c r="G18" s="84"/>
      <c r="H18" t="s">
        <v>82</v>
      </c>
      <c r="I18" s="96">
        <v>514.5</v>
      </c>
      <c r="J18" s="96">
        <v>618.9</v>
      </c>
      <c r="K18" s="96">
        <v>1187.7</v>
      </c>
      <c r="L18" s="96"/>
      <c r="O18" s="96"/>
      <c r="R18" s="96"/>
    </row>
    <row r="19" spans="1:18" ht="30" customHeight="1" x14ac:dyDescent="0.25">
      <c r="H19" t="s">
        <v>133</v>
      </c>
      <c r="I19" s="96">
        <v>26.1</v>
      </c>
      <c r="J19" s="96">
        <v>57.3</v>
      </c>
      <c r="K19">
        <v>0</v>
      </c>
      <c r="O19" s="96"/>
      <c r="R19" s="96"/>
    </row>
    <row r="20" spans="1:18" x14ac:dyDescent="0.25">
      <c r="A20" s="90" t="s">
        <v>84</v>
      </c>
      <c r="B20" s="90"/>
      <c r="C20" s="90"/>
      <c r="D20" s="84">
        <v>3988.9</v>
      </c>
      <c r="E20" s="84">
        <v>4845.3999999999996</v>
      </c>
      <c r="F20" s="84">
        <v>5427.7</v>
      </c>
      <c r="G20" s="84"/>
      <c r="H20" t="s">
        <v>51</v>
      </c>
      <c r="I20" s="96">
        <v>267.10000000000002</v>
      </c>
      <c r="J20" s="96">
        <v>269</v>
      </c>
      <c r="K20" s="96">
        <v>414.2</v>
      </c>
      <c r="L20" s="96"/>
      <c r="O20" s="96"/>
      <c r="R20" s="96"/>
    </row>
    <row r="21" spans="1:18" x14ac:dyDescent="0.25">
      <c r="A21" s="90" t="s">
        <v>85</v>
      </c>
      <c r="B21" s="90"/>
      <c r="C21" s="90"/>
      <c r="D21" s="87">
        <v>-410.2</v>
      </c>
      <c r="E21" s="84">
        <v>1059.5999999999999</v>
      </c>
      <c r="F21" s="84">
        <v>974</v>
      </c>
      <c r="G21" s="84"/>
      <c r="H21" t="s">
        <v>83</v>
      </c>
      <c r="I21" s="96">
        <v>18</v>
      </c>
      <c r="J21" s="96">
        <v>34.9</v>
      </c>
      <c r="K21" s="96">
        <v>173.1</v>
      </c>
      <c r="L21" s="96"/>
      <c r="O21" s="96"/>
      <c r="R21" s="96"/>
    </row>
    <row r="22" spans="1:18" x14ac:dyDescent="0.25">
      <c r="A22" s="90" t="s">
        <v>86</v>
      </c>
      <c r="B22" s="90"/>
      <c r="C22" s="90"/>
      <c r="H22" t="s">
        <v>135</v>
      </c>
      <c r="I22" s="96">
        <v>89.8</v>
      </c>
      <c r="J22" s="97">
        <v>-17</v>
      </c>
      <c r="K22">
        <v>0</v>
      </c>
      <c r="O22" s="97"/>
      <c r="R22" s="96"/>
    </row>
    <row r="23" spans="1:18" x14ac:dyDescent="0.25">
      <c r="A23" s="90" t="s">
        <v>64</v>
      </c>
      <c r="B23" s="90"/>
      <c r="C23" s="90"/>
      <c r="D23" s="87">
        <v>-544.1</v>
      </c>
      <c r="E23" s="87">
        <v>-562.79999999999995</v>
      </c>
      <c r="F23" s="87">
        <v>-758.2</v>
      </c>
      <c r="G23" s="87"/>
      <c r="H23" s="83" t="s">
        <v>84</v>
      </c>
      <c r="I23" s="96">
        <v>2702.3</v>
      </c>
      <c r="J23" s="96">
        <v>2953.8</v>
      </c>
      <c r="K23" s="96">
        <v>4729.5</v>
      </c>
      <c r="L23" s="96"/>
      <c r="O23" s="96"/>
      <c r="R23" s="96"/>
    </row>
    <row r="24" spans="1:18" x14ac:dyDescent="0.25">
      <c r="A24" s="90" t="s">
        <v>87</v>
      </c>
      <c r="B24" s="90"/>
      <c r="C24" s="90"/>
      <c r="D24" s="84">
        <v>0.9</v>
      </c>
      <c r="E24" s="84">
        <v>1.1000000000000001</v>
      </c>
      <c r="F24" s="84">
        <v>18.3</v>
      </c>
      <c r="G24" s="84"/>
      <c r="H24" t="s">
        <v>13</v>
      </c>
      <c r="I24" s="96">
        <v>445.7</v>
      </c>
      <c r="J24" s="96">
        <v>634.1</v>
      </c>
      <c r="K24" s="96">
        <v>571.9</v>
      </c>
      <c r="L24" s="96"/>
      <c r="O24" s="96"/>
      <c r="R24" s="96"/>
    </row>
    <row r="25" spans="1:18" x14ac:dyDescent="0.25">
      <c r="A25" s="90" t="s">
        <v>88</v>
      </c>
      <c r="B25" s="90"/>
      <c r="C25" s="90"/>
      <c r="D25" s="84">
        <v>13.8</v>
      </c>
      <c r="E25" s="84">
        <v>38.700000000000003</v>
      </c>
      <c r="F25" s="84">
        <v>23.7</v>
      </c>
      <c r="G25" s="84"/>
      <c r="H25" s="83" t="s">
        <v>86</v>
      </c>
    </row>
    <row r="26" spans="1:18" x14ac:dyDescent="0.25">
      <c r="A26" s="90" t="s">
        <v>89</v>
      </c>
      <c r="B26" s="90"/>
      <c r="C26" s="90"/>
      <c r="D26" s="87">
        <v>-1.2</v>
      </c>
      <c r="E26" s="83" t="s">
        <v>60</v>
      </c>
      <c r="F26" s="87">
        <v>-10.4</v>
      </c>
      <c r="G26" s="87"/>
      <c r="H26" t="s">
        <v>64</v>
      </c>
      <c r="I26" s="97">
        <v>-463.2</v>
      </c>
      <c r="J26" s="97">
        <v>-538.4</v>
      </c>
      <c r="K26" s="97">
        <v>-534.20000000000005</v>
      </c>
      <c r="L26" s="97"/>
      <c r="O26" s="97"/>
      <c r="R26" s="97"/>
    </row>
    <row r="27" spans="1:18" x14ac:dyDescent="0.25">
      <c r="A27" s="90" t="s">
        <v>71</v>
      </c>
      <c r="B27" s="90"/>
      <c r="C27" s="90"/>
      <c r="D27" s="84">
        <v>106.6</v>
      </c>
      <c r="E27" s="84">
        <v>2.5</v>
      </c>
      <c r="F27" s="87">
        <v>-72.099999999999994</v>
      </c>
      <c r="G27" s="87"/>
      <c r="H27" t="s">
        <v>88</v>
      </c>
      <c r="I27" s="96">
        <v>18.7</v>
      </c>
      <c r="J27" s="96">
        <v>22.3</v>
      </c>
      <c r="K27" s="96">
        <v>28.4</v>
      </c>
      <c r="L27" s="96"/>
      <c r="O27" s="96"/>
      <c r="R27" s="96"/>
    </row>
    <row r="28" spans="1:18" x14ac:dyDescent="0.25">
      <c r="A28" s="90" t="s">
        <v>90</v>
      </c>
      <c r="B28" s="90"/>
      <c r="C28" s="90"/>
      <c r="D28" s="87">
        <v>-424</v>
      </c>
      <c r="E28" s="87">
        <v>-520.5</v>
      </c>
      <c r="F28" s="87">
        <v>-798.7</v>
      </c>
      <c r="G28" s="87"/>
      <c r="H28" t="s">
        <v>89</v>
      </c>
      <c r="I28" s="97">
        <v>-24</v>
      </c>
      <c r="J28" s="97">
        <v>-21</v>
      </c>
      <c r="K28" t="s">
        <v>60</v>
      </c>
      <c r="O28" s="97"/>
      <c r="R28" s="97"/>
    </row>
    <row r="29" spans="1:18" x14ac:dyDescent="0.25">
      <c r="A29" s="90" t="s">
        <v>91</v>
      </c>
      <c r="B29" s="90"/>
      <c r="C29" s="90"/>
      <c r="D29" s="87">
        <v>-834.2</v>
      </c>
      <c r="E29" s="84">
        <v>539.1</v>
      </c>
      <c r="F29" s="84">
        <v>175.3</v>
      </c>
      <c r="G29" s="84"/>
      <c r="H29" t="s">
        <v>71</v>
      </c>
      <c r="I29" s="97">
        <v>-2.2999999999999998</v>
      </c>
      <c r="J29" s="97">
        <v>-7.1</v>
      </c>
      <c r="K29" s="96">
        <v>20</v>
      </c>
      <c r="L29" s="96"/>
      <c r="O29" s="97"/>
      <c r="R29" s="97"/>
    </row>
    <row r="30" spans="1:18" x14ac:dyDescent="0.25">
      <c r="A30" s="90" t="s">
        <v>92</v>
      </c>
      <c r="B30" s="90"/>
      <c r="C30" s="90"/>
      <c r="D30" s="84">
        <v>165.1</v>
      </c>
      <c r="E30" s="87">
        <v>-118.6</v>
      </c>
      <c r="F30" s="84">
        <v>46.4</v>
      </c>
      <c r="G30" s="84"/>
      <c r="H30" s="83" t="s">
        <v>90</v>
      </c>
      <c r="I30" s="97">
        <v>-470.8</v>
      </c>
      <c r="J30" s="97">
        <v>-544.20000000000005</v>
      </c>
      <c r="K30" s="97">
        <v>-485.8</v>
      </c>
      <c r="L30" s="97"/>
      <c r="O30" s="97"/>
      <c r="R30" s="97"/>
    </row>
    <row r="31" spans="1:18" x14ac:dyDescent="0.25">
      <c r="A31" s="90" t="s">
        <v>52</v>
      </c>
      <c r="B31" s="90"/>
      <c r="C31" s="90"/>
      <c r="D31" s="87">
        <v>-669.1</v>
      </c>
      <c r="E31" s="84">
        <v>420.5</v>
      </c>
      <c r="F31" s="84">
        <v>221.7</v>
      </c>
      <c r="G31" s="84"/>
      <c r="H31" s="83" t="s">
        <v>91</v>
      </c>
      <c r="I31" s="97">
        <v>-25.1</v>
      </c>
      <c r="J31" s="96">
        <v>89.9</v>
      </c>
      <c r="K31" s="96">
        <v>86.1</v>
      </c>
      <c r="L31" s="96"/>
      <c r="O31" s="96"/>
      <c r="R31" s="97"/>
    </row>
    <row r="32" spans="1:18" x14ac:dyDescent="0.25">
      <c r="A32" s="90" t="s">
        <v>93</v>
      </c>
      <c r="B32" s="90"/>
      <c r="C32" s="90"/>
      <c r="D32" s="87">
        <v>-0.4</v>
      </c>
      <c r="E32" s="84">
        <v>0.30000000000000004</v>
      </c>
      <c r="F32" s="84">
        <v>0.4</v>
      </c>
      <c r="G32" s="84"/>
      <c r="H32" t="s">
        <v>92</v>
      </c>
      <c r="I32" s="96">
        <v>498.5</v>
      </c>
      <c r="J32" s="96">
        <v>3.6</v>
      </c>
      <c r="K32" s="97">
        <v>-43</v>
      </c>
      <c r="L32" s="97"/>
      <c r="O32" s="96"/>
      <c r="R32" s="96"/>
    </row>
    <row r="33" spans="1:18" x14ac:dyDescent="0.25">
      <c r="A33" s="90" t="s">
        <v>94</v>
      </c>
      <c r="B33" s="90"/>
      <c r="C33" s="90"/>
      <c r="D33" s="85">
        <v>-669.5</v>
      </c>
      <c r="E33" s="86">
        <v>420.8</v>
      </c>
      <c r="F33" s="86">
        <v>222.1</v>
      </c>
      <c r="G33" s="86"/>
      <c r="H33" s="83" t="s">
        <v>24</v>
      </c>
      <c r="I33" s="96">
        <v>473.4</v>
      </c>
      <c r="J33" s="96">
        <v>93.5</v>
      </c>
      <c r="K33" s="96">
        <v>43.1</v>
      </c>
      <c r="L33" s="96"/>
      <c r="O33" s="96"/>
      <c r="R33" s="96"/>
    </row>
    <row r="34" spans="1:18" x14ac:dyDescent="0.25">
      <c r="H34" t="s">
        <v>136</v>
      </c>
      <c r="I34" t="s">
        <v>60</v>
      </c>
      <c r="J34" t="s">
        <v>60</v>
      </c>
      <c r="K34" s="96">
        <v>0.8</v>
      </c>
      <c r="L34" s="96"/>
    </row>
    <row r="35" spans="1:18" x14ac:dyDescent="0.25">
      <c r="A35" s="90" t="s">
        <v>95</v>
      </c>
      <c r="B35" s="90"/>
      <c r="C35" s="90"/>
      <c r="H35" s="83" t="s">
        <v>137</v>
      </c>
      <c r="I35" s="95">
        <v>473.4</v>
      </c>
      <c r="J35" s="95">
        <v>93.5</v>
      </c>
      <c r="K35" s="95">
        <v>43.9</v>
      </c>
      <c r="L35" s="95"/>
      <c r="O35" s="95"/>
      <c r="R35" s="95"/>
    </row>
    <row r="36" spans="1:18" x14ac:dyDescent="0.25">
      <c r="A36" s="90" t="s">
        <v>96</v>
      </c>
      <c r="B36" s="90"/>
      <c r="C36" s="90"/>
      <c r="D36" s="85">
        <v>-5</v>
      </c>
      <c r="E36" s="86">
        <v>2.64</v>
      </c>
      <c r="F36" s="86">
        <v>1.37</v>
      </c>
      <c r="G36" s="86"/>
    </row>
    <row r="37" spans="1:18" x14ac:dyDescent="0.25">
      <c r="A37" s="90" t="s">
        <v>97</v>
      </c>
      <c r="B37" s="90"/>
      <c r="C37" s="90"/>
      <c r="D37" s="85">
        <v>-5</v>
      </c>
      <c r="E37" s="86">
        <v>2.48</v>
      </c>
      <c r="F37" s="86">
        <v>1.29</v>
      </c>
      <c r="G37" s="86"/>
      <c r="H37" s="83" t="s">
        <v>138</v>
      </c>
    </row>
    <row r="38" spans="1:18" x14ac:dyDescent="0.25">
      <c r="A38" s="92"/>
      <c r="B38" s="92"/>
      <c r="C38" s="92"/>
      <c r="H38" t="s">
        <v>139</v>
      </c>
      <c r="I38" s="95">
        <v>5.21</v>
      </c>
      <c r="J38" s="95">
        <v>0.96</v>
      </c>
      <c r="K38" s="95">
        <v>0.38</v>
      </c>
      <c r="L38" s="95"/>
      <c r="O38" s="95"/>
      <c r="R38" s="95"/>
    </row>
    <row r="39" spans="1:18" x14ac:dyDescent="0.25">
      <c r="A39" s="90" t="s">
        <v>98</v>
      </c>
      <c r="B39" s="90"/>
      <c r="C39" s="90"/>
      <c r="D39" s="84">
        <v>134</v>
      </c>
      <c r="E39" s="84">
        <v>158.69999999999999</v>
      </c>
      <c r="F39" s="84">
        <v>161.19999999999999</v>
      </c>
      <c r="G39" s="84"/>
      <c r="H39" t="s">
        <v>140</v>
      </c>
      <c r="I39" s="95">
        <v>5.07</v>
      </c>
      <c r="J39" s="95">
        <v>0.93</v>
      </c>
      <c r="K39" s="95">
        <v>0.37</v>
      </c>
      <c r="L39" s="95"/>
      <c r="O39" s="95"/>
      <c r="R39" s="95"/>
    </row>
    <row r="40" spans="1:18" x14ac:dyDescent="0.25">
      <c r="A40" s="90" t="s">
        <v>99</v>
      </c>
      <c r="B40" s="90"/>
      <c r="C40" s="90"/>
      <c r="D40" s="84">
        <v>134</v>
      </c>
      <c r="E40" s="84">
        <v>175.5</v>
      </c>
      <c r="F40" s="84">
        <v>176.6</v>
      </c>
      <c r="G40" s="84"/>
    </row>
    <row r="41" spans="1:18" x14ac:dyDescent="0.25">
      <c r="A41" s="90" t="s">
        <v>65</v>
      </c>
      <c r="B41" s="90"/>
      <c r="C41" s="90"/>
      <c r="H41" t="s">
        <v>141</v>
      </c>
      <c r="I41" s="96">
        <v>90.9</v>
      </c>
      <c r="J41" s="96">
        <v>97.1</v>
      </c>
      <c r="K41" s="96">
        <v>115.7</v>
      </c>
      <c r="L41" s="96"/>
      <c r="O41" s="96"/>
      <c r="R41" s="96"/>
    </row>
    <row r="42" spans="1:18" x14ac:dyDescent="0.25">
      <c r="A42" s="90" t="s">
        <v>66</v>
      </c>
      <c r="B42" s="90"/>
      <c r="C42" s="90"/>
      <c r="D42" s="84">
        <v>39.6</v>
      </c>
      <c r="E42" s="84">
        <v>38.6</v>
      </c>
      <c r="F42" s="84">
        <v>37.9</v>
      </c>
      <c r="G42" s="84"/>
      <c r="H42" t="s">
        <v>142</v>
      </c>
      <c r="I42" s="96">
        <v>93.4</v>
      </c>
      <c r="J42" s="96">
        <v>100.3</v>
      </c>
      <c r="K42" s="96">
        <v>117.8</v>
      </c>
      <c r="L42" s="96"/>
      <c r="O42" s="96"/>
      <c r="R42" s="96"/>
    </row>
    <row r="43" spans="1:18" x14ac:dyDescent="0.25">
      <c r="A43" s="90" t="s">
        <v>67</v>
      </c>
      <c r="B43" s="90"/>
      <c r="C43" s="90"/>
      <c r="D43" s="84">
        <v>40.1</v>
      </c>
      <c r="E43" s="84">
        <v>39.200000000000003</v>
      </c>
      <c r="F43" s="84">
        <v>38.5</v>
      </c>
      <c r="G43" s="84"/>
      <c r="L43" s="84"/>
      <c r="Q43" s="84"/>
    </row>
  </sheetData>
  <sortState xmlns:xlrd2="http://schemas.microsoft.com/office/spreadsheetml/2017/richdata2" columnSort="1" ref="D4:R43">
    <sortCondition ref="D4:R4"/>
  </sortState>
  <mergeCells count="39">
    <mergeCell ref="A43:C43"/>
    <mergeCell ref="A42:C42"/>
    <mergeCell ref="A41:C41"/>
    <mergeCell ref="A40:C40"/>
    <mergeCell ref="A39:C39"/>
    <mergeCell ref="A38:C38"/>
    <mergeCell ref="A37:C37"/>
    <mergeCell ref="A36:C36"/>
    <mergeCell ref="A35:C35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8:C18"/>
    <mergeCell ref="A17:C17"/>
    <mergeCell ref="A15:C15"/>
    <mergeCell ref="A14:C14"/>
    <mergeCell ref="A13:C13"/>
    <mergeCell ref="A12:C12"/>
    <mergeCell ref="A11:C11"/>
    <mergeCell ref="A8:C8"/>
    <mergeCell ref="A7:C7"/>
    <mergeCell ref="A6:C6"/>
    <mergeCell ref="A1:F1"/>
    <mergeCell ref="A4:C4"/>
    <mergeCell ref="A5:C5"/>
    <mergeCell ref="H1:M1"/>
    <mergeCell ref="H3:S3"/>
    <mergeCell ref="I5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T56"/>
  <sheetViews>
    <sheetView topLeftCell="A4" workbookViewId="0">
      <selection activeCell="J6" sqref="J6"/>
    </sheetView>
  </sheetViews>
  <sheetFormatPr defaultRowHeight="15" x14ac:dyDescent="0.25"/>
  <cols>
    <col min="1" max="1" width="27.28515625" customWidth="1"/>
    <col min="9" max="9" width="34.42578125" customWidth="1"/>
  </cols>
  <sheetData>
    <row r="1" spans="1:20" x14ac:dyDescent="0.25">
      <c r="A1" s="90" t="s">
        <v>53</v>
      </c>
      <c r="B1" s="90"/>
      <c r="C1" s="90"/>
      <c r="D1" s="90"/>
      <c r="E1" s="90"/>
      <c r="F1" s="90"/>
      <c r="I1" s="90" t="s">
        <v>53</v>
      </c>
      <c r="J1" s="90"/>
      <c r="K1" s="90"/>
      <c r="L1" s="90"/>
      <c r="M1" s="90"/>
      <c r="N1" s="90"/>
    </row>
    <row r="3" spans="1:20" x14ac:dyDescent="0.25"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x14ac:dyDescent="0.25">
      <c r="A4" s="90"/>
      <c r="B4" s="90"/>
      <c r="C4" s="90"/>
      <c r="D4" s="93" t="s">
        <v>76</v>
      </c>
      <c r="E4" s="93"/>
      <c r="F4" s="93"/>
      <c r="G4" s="93"/>
      <c r="H4" s="93"/>
    </row>
    <row r="5" spans="1:20" x14ac:dyDescent="0.25">
      <c r="A5" s="91" t="s">
        <v>68</v>
      </c>
      <c r="B5" s="91"/>
      <c r="C5" s="91"/>
      <c r="D5" s="83" t="s">
        <v>59</v>
      </c>
      <c r="E5" s="83" t="s">
        <v>58</v>
      </c>
      <c r="F5" s="83" t="s">
        <v>57</v>
      </c>
      <c r="G5" s="83"/>
      <c r="H5" s="83"/>
      <c r="J5" s="83" t="s">
        <v>76</v>
      </c>
      <c r="K5" s="83"/>
      <c r="L5" s="83"/>
      <c r="M5" s="83"/>
      <c r="N5" s="83"/>
      <c r="O5" s="83"/>
      <c r="P5" s="83"/>
      <c r="Q5" s="83"/>
      <c r="R5" s="83"/>
      <c r="S5" s="83"/>
      <c r="T5" s="83"/>
    </row>
    <row r="6" spans="1:20" x14ac:dyDescent="0.25">
      <c r="A6" s="90" t="s">
        <v>100</v>
      </c>
      <c r="B6" s="90"/>
      <c r="C6" s="90"/>
      <c r="D6" s="83"/>
      <c r="E6" s="83"/>
      <c r="F6" s="83"/>
      <c r="G6" s="83"/>
      <c r="H6" s="83"/>
      <c r="I6" s="88" t="s">
        <v>68</v>
      </c>
      <c r="J6" s="83" t="s">
        <v>129</v>
      </c>
      <c r="K6" s="83" t="s">
        <v>130</v>
      </c>
      <c r="L6" s="83" t="s">
        <v>131</v>
      </c>
      <c r="M6" s="83"/>
      <c r="N6" s="83"/>
      <c r="P6" s="83"/>
      <c r="Q6" s="83"/>
      <c r="S6" s="83"/>
      <c r="T6" s="83"/>
    </row>
    <row r="7" spans="1:20" x14ac:dyDescent="0.25">
      <c r="A7" s="90" t="s">
        <v>52</v>
      </c>
      <c r="B7" s="90"/>
      <c r="C7" s="90"/>
      <c r="D7" s="85">
        <v>-669.1</v>
      </c>
      <c r="E7" s="86">
        <v>420.5</v>
      </c>
      <c r="F7" s="86">
        <v>221.7</v>
      </c>
      <c r="G7" s="86"/>
      <c r="I7" s="83" t="s">
        <v>100</v>
      </c>
    </row>
    <row r="8" spans="1:20" x14ac:dyDescent="0.25">
      <c r="A8" s="90" t="s">
        <v>69</v>
      </c>
      <c r="B8" s="90"/>
      <c r="C8" s="90"/>
      <c r="I8" s="83" t="s">
        <v>24</v>
      </c>
      <c r="J8" s="95">
        <v>473.4</v>
      </c>
      <c r="K8" s="95">
        <v>93.5</v>
      </c>
      <c r="L8" s="95">
        <v>43.1</v>
      </c>
      <c r="M8" s="95"/>
      <c r="P8" s="95"/>
      <c r="S8" s="95"/>
    </row>
    <row r="9" spans="1:20" x14ac:dyDescent="0.25">
      <c r="A9" s="90" t="s">
        <v>51</v>
      </c>
      <c r="B9" s="90"/>
      <c r="C9" s="90"/>
      <c r="D9" s="84">
        <v>366.7</v>
      </c>
      <c r="E9" s="84">
        <v>344.5</v>
      </c>
      <c r="F9" s="84">
        <v>567.5</v>
      </c>
      <c r="G9" s="84"/>
      <c r="I9" t="s">
        <v>143</v>
      </c>
    </row>
    <row r="10" spans="1:20" x14ac:dyDescent="0.25">
      <c r="A10" s="90" t="s">
        <v>101</v>
      </c>
      <c r="B10" s="90"/>
      <c r="C10" s="90"/>
      <c r="D10" s="84">
        <v>16.3</v>
      </c>
      <c r="E10" s="84">
        <v>22.8</v>
      </c>
      <c r="F10" s="84">
        <v>9</v>
      </c>
      <c r="G10" s="84"/>
      <c r="I10" t="s">
        <v>51</v>
      </c>
      <c r="J10" s="96">
        <v>267.10000000000002</v>
      </c>
      <c r="K10" s="96">
        <v>269</v>
      </c>
      <c r="L10" s="96">
        <v>414.2</v>
      </c>
      <c r="M10" s="96"/>
      <c r="P10" s="96"/>
      <c r="S10" s="96"/>
    </row>
    <row r="11" spans="1:20" x14ac:dyDescent="0.25">
      <c r="A11" s="90" t="s">
        <v>102</v>
      </c>
      <c r="B11" s="90"/>
      <c r="C11" s="90"/>
      <c r="D11" s="83" t="s">
        <v>60</v>
      </c>
      <c r="E11" s="84">
        <v>17.899999999999999</v>
      </c>
      <c r="F11" s="84">
        <v>27.6</v>
      </c>
      <c r="G11" s="84"/>
      <c r="I11" t="s">
        <v>144</v>
      </c>
      <c r="J11" s="96">
        <v>7</v>
      </c>
      <c r="K11" s="96">
        <v>6.4</v>
      </c>
      <c r="L11" s="96">
        <v>7.7</v>
      </c>
      <c r="M11" s="96"/>
      <c r="P11" s="96"/>
      <c r="S11" s="96"/>
    </row>
    <row r="12" spans="1:20" x14ac:dyDescent="0.25">
      <c r="A12" s="90" t="s">
        <v>103</v>
      </c>
      <c r="B12" s="90"/>
      <c r="C12" s="90"/>
      <c r="D12" s="84">
        <v>120.3</v>
      </c>
      <c r="E12" s="84">
        <v>160.80000000000001</v>
      </c>
      <c r="F12" s="84">
        <v>87.5</v>
      </c>
      <c r="G12" s="84"/>
      <c r="I12" t="s">
        <v>103</v>
      </c>
      <c r="J12" t="s">
        <v>60</v>
      </c>
      <c r="K12" t="s">
        <v>60</v>
      </c>
      <c r="L12" s="96">
        <v>100.4</v>
      </c>
      <c r="M12" s="96"/>
    </row>
    <row r="13" spans="1:20" x14ac:dyDescent="0.25">
      <c r="I13" t="s">
        <v>145</v>
      </c>
      <c r="J13" s="97">
        <v>-6.8</v>
      </c>
      <c r="K13" s="96">
        <v>0.5</v>
      </c>
      <c r="L13" s="96">
        <v>7</v>
      </c>
      <c r="M13" s="96"/>
      <c r="P13" s="96"/>
      <c r="S13" s="97"/>
    </row>
    <row r="14" spans="1:20" x14ac:dyDescent="0.25">
      <c r="A14" s="90" t="s">
        <v>104</v>
      </c>
      <c r="B14" s="90"/>
      <c r="C14" s="90"/>
      <c r="D14" s="83" t="s">
        <v>60</v>
      </c>
      <c r="E14" s="87">
        <v>-29.9</v>
      </c>
      <c r="F14" s="83" t="s">
        <v>60</v>
      </c>
      <c r="G14" s="83"/>
      <c r="I14" t="s">
        <v>146</v>
      </c>
      <c r="J14" t="s">
        <v>60</v>
      </c>
      <c r="K14" t="s">
        <v>60</v>
      </c>
      <c r="L14" s="97">
        <v>-19.899999999999999</v>
      </c>
      <c r="M14" s="97"/>
    </row>
    <row r="15" spans="1:20" x14ac:dyDescent="0.25">
      <c r="A15" s="90" t="s">
        <v>105</v>
      </c>
      <c r="B15" s="90"/>
      <c r="C15" s="90"/>
      <c r="D15" s="87">
        <v>-106.7</v>
      </c>
      <c r="E15" s="84">
        <v>24.9</v>
      </c>
      <c r="F15" s="84">
        <v>69.900000000000006</v>
      </c>
      <c r="G15" s="84"/>
      <c r="I15" t="s">
        <v>147</v>
      </c>
      <c r="J15" s="96">
        <v>0.2</v>
      </c>
      <c r="K15" s="96">
        <v>3.2</v>
      </c>
      <c r="L15" s="96">
        <v>5.5</v>
      </c>
      <c r="M15" s="96"/>
      <c r="P15" s="96"/>
      <c r="S15" s="96"/>
    </row>
    <row r="16" spans="1:20" x14ac:dyDescent="0.25">
      <c r="A16" s="90" t="s">
        <v>106</v>
      </c>
      <c r="B16" s="90"/>
      <c r="C16" s="90"/>
      <c r="D16" s="87">
        <v>-29.2</v>
      </c>
      <c r="E16" s="84">
        <v>1.1000000000000001</v>
      </c>
      <c r="F16" s="84">
        <v>7.9</v>
      </c>
      <c r="G16" s="84"/>
      <c r="I16" t="s">
        <v>88</v>
      </c>
      <c r="J16" s="97">
        <v>-18.7</v>
      </c>
      <c r="K16" s="97">
        <v>-22.3</v>
      </c>
      <c r="L16" s="97">
        <v>-28.4</v>
      </c>
      <c r="M16" s="97"/>
      <c r="P16" s="97"/>
      <c r="S16" s="97"/>
    </row>
    <row r="17" spans="1:19" x14ac:dyDescent="0.25">
      <c r="A17" s="90" t="s">
        <v>107</v>
      </c>
      <c r="B17" s="90"/>
      <c r="C17" s="90"/>
      <c r="D17" s="83" t="s">
        <v>60</v>
      </c>
      <c r="E17" s="83" t="s">
        <v>60</v>
      </c>
      <c r="F17" s="87">
        <v>-10.7</v>
      </c>
      <c r="G17" s="87"/>
      <c r="I17" t="s">
        <v>109</v>
      </c>
      <c r="J17" s="96">
        <v>26.5</v>
      </c>
      <c r="K17" s="96">
        <v>27</v>
      </c>
      <c r="L17" s="96">
        <v>29</v>
      </c>
      <c r="M17" s="96"/>
      <c r="P17" s="96"/>
      <c r="S17" s="96"/>
    </row>
    <row r="18" spans="1:19" x14ac:dyDescent="0.25">
      <c r="A18" s="90" t="s">
        <v>108</v>
      </c>
      <c r="B18" s="90"/>
      <c r="C18" s="90"/>
      <c r="D18" s="84">
        <v>287.10000000000002</v>
      </c>
      <c r="E18" s="83" t="s">
        <v>60</v>
      </c>
      <c r="F18" s="83" t="s">
        <v>60</v>
      </c>
      <c r="G18" s="83"/>
      <c r="I18" t="s">
        <v>54</v>
      </c>
      <c r="J18" s="97">
        <v>-517.9</v>
      </c>
      <c r="K18" s="97">
        <v>-26.7</v>
      </c>
      <c r="L18" s="96">
        <v>21.1</v>
      </c>
      <c r="M18" s="96"/>
      <c r="P18" s="97"/>
      <c r="S18" s="97"/>
    </row>
    <row r="19" spans="1:19" x14ac:dyDescent="0.25">
      <c r="A19" s="90" t="s">
        <v>88</v>
      </c>
      <c r="B19" s="90"/>
      <c r="C19" s="90"/>
      <c r="D19" s="87">
        <v>-13.8</v>
      </c>
      <c r="E19" s="87">
        <v>-38.700000000000003</v>
      </c>
      <c r="F19" s="87">
        <v>-23.7</v>
      </c>
      <c r="G19" s="87"/>
      <c r="I19" t="s">
        <v>70</v>
      </c>
      <c r="J19" s="96">
        <v>7.8</v>
      </c>
      <c r="K19" s="96">
        <v>12</v>
      </c>
      <c r="L19" s="96">
        <v>14.9</v>
      </c>
      <c r="M19" s="96"/>
      <c r="P19" s="96"/>
      <c r="S19" s="96"/>
    </row>
    <row r="20" spans="1:19" x14ac:dyDescent="0.25">
      <c r="A20" s="90" t="s">
        <v>109</v>
      </c>
      <c r="B20" s="90"/>
      <c r="C20" s="90"/>
      <c r="D20" s="84">
        <v>21.8</v>
      </c>
      <c r="E20" s="84">
        <v>31.8</v>
      </c>
      <c r="F20" s="84">
        <v>33.799999999999997</v>
      </c>
      <c r="G20" s="84"/>
      <c r="I20" t="s">
        <v>83</v>
      </c>
      <c r="J20" s="96">
        <v>18</v>
      </c>
      <c r="K20" s="96">
        <v>34.9</v>
      </c>
      <c r="L20" s="96">
        <v>173.1</v>
      </c>
      <c r="M20" s="96"/>
      <c r="P20" s="96"/>
      <c r="S20" s="96"/>
    </row>
    <row r="21" spans="1:19" x14ac:dyDescent="0.25">
      <c r="A21" s="90" t="s">
        <v>54</v>
      </c>
      <c r="B21" s="90"/>
      <c r="C21" s="90"/>
      <c r="D21" s="87">
        <v>-118.3</v>
      </c>
      <c r="E21" s="87">
        <v>-4.5</v>
      </c>
      <c r="F21" s="87">
        <v>-150.69999999999999</v>
      </c>
      <c r="G21" s="87"/>
      <c r="I21" t="s">
        <v>135</v>
      </c>
      <c r="J21" s="96">
        <v>89.8</v>
      </c>
      <c r="K21" s="97">
        <v>-17</v>
      </c>
      <c r="L21" t="s">
        <v>60</v>
      </c>
      <c r="P21" s="97"/>
      <c r="S21" s="96"/>
    </row>
    <row r="22" spans="1:19" x14ac:dyDescent="0.25">
      <c r="A22" s="90" t="s">
        <v>70</v>
      </c>
      <c r="B22" s="90"/>
      <c r="C22" s="90"/>
      <c r="D22" s="84">
        <v>14.5</v>
      </c>
      <c r="E22" s="84">
        <v>35.1</v>
      </c>
      <c r="F22" s="84">
        <v>58.1</v>
      </c>
      <c r="G22" s="84"/>
      <c r="I22" t="s">
        <v>148</v>
      </c>
      <c r="J22" t="s">
        <v>60</v>
      </c>
      <c r="K22" s="96">
        <v>1.5</v>
      </c>
      <c r="L22" t="s">
        <v>60</v>
      </c>
      <c r="P22" s="96"/>
    </row>
    <row r="23" spans="1:19" x14ac:dyDescent="0.25">
      <c r="A23" s="90" t="s">
        <v>83</v>
      </c>
      <c r="B23" s="90"/>
      <c r="C23" s="90"/>
      <c r="D23" s="84">
        <v>623.4</v>
      </c>
      <c r="E23" s="83" t="s">
        <v>60</v>
      </c>
      <c r="F23" s="84">
        <v>118.2</v>
      </c>
      <c r="G23" s="84"/>
      <c r="I23" t="s">
        <v>89</v>
      </c>
      <c r="J23" s="96">
        <v>24</v>
      </c>
      <c r="K23" s="96">
        <v>21</v>
      </c>
      <c r="L23" t="s">
        <v>60</v>
      </c>
      <c r="P23" s="96"/>
      <c r="S23" s="96"/>
    </row>
    <row r="24" spans="1:19" x14ac:dyDescent="0.25">
      <c r="I24" t="s">
        <v>110</v>
      </c>
    </row>
    <row r="25" spans="1:19" x14ac:dyDescent="0.25">
      <c r="I25" t="s">
        <v>111</v>
      </c>
      <c r="J25" s="97">
        <v>-9.1999999999999993</v>
      </c>
      <c r="K25" s="97">
        <v>-1.8</v>
      </c>
      <c r="L25" s="96">
        <v>27</v>
      </c>
      <c r="M25" s="96"/>
      <c r="P25" s="97"/>
      <c r="S25" s="97"/>
    </row>
    <row r="26" spans="1:19" x14ac:dyDescent="0.25">
      <c r="A26" s="90" t="s">
        <v>89</v>
      </c>
      <c r="B26" s="90"/>
      <c r="C26" s="90"/>
      <c r="D26" s="84">
        <v>1.2</v>
      </c>
      <c r="E26" s="83" t="s">
        <v>60</v>
      </c>
      <c r="F26" s="84">
        <v>10.4</v>
      </c>
      <c r="G26" s="84"/>
      <c r="I26" t="s">
        <v>112</v>
      </c>
      <c r="J26" s="97">
        <v>-7.3</v>
      </c>
      <c r="K26" s="96">
        <v>13.3</v>
      </c>
      <c r="L26" s="96">
        <v>9.6999999999999993</v>
      </c>
      <c r="M26" s="96"/>
      <c r="P26" s="96"/>
      <c r="S26" s="97"/>
    </row>
    <row r="27" spans="1:19" x14ac:dyDescent="0.25">
      <c r="A27" s="90" t="s">
        <v>110</v>
      </c>
      <c r="B27" s="90"/>
      <c r="C27" s="90"/>
      <c r="I27" t="s">
        <v>113</v>
      </c>
      <c r="J27" s="96">
        <v>2.4</v>
      </c>
      <c r="K27" s="96">
        <v>1.5</v>
      </c>
      <c r="L27" s="97">
        <v>-2.2999999999999998</v>
      </c>
      <c r="M27" s="97"/>
      <c r="P27" s="96"/>
      <c r="S27" s="96"/>
    </row>
    <row r="28" spans="1:19" x14ac:dyDescent="0.25">
      <c r="A28" s="90" t="s">
        <v>111</v>
      </c>
      <c r="B28" s="90"/>
      <c r="C28" s="90"/>
      <c r="D28" s="87">
        <v>-16.5</v>
      </c>
      <c r="E28" s="87">
        <v>-82.3</v>
      </c>
      <c r="F28" s="87">
        <v>-81.2</v>
      </c>
      <c r="G28" s="87"/>
      <c r="I28" t="s">
        <v>114</v>
      </c>
      <c r="J28" s="97">
        <v>-0.4</v>
      </c>
      <c r="K28" s="97">
        <v>-6.1</v>
      </c>
      <c r="L28" s="96">
        <v>4.4000000000000004</v>
      </c>
      <c r="M28" s="96"/>
      <c r="P28" s="97"/>
      <c r="S28" s="97"/>
    </row>
    <row r="29" spans="1:19" x14ac:dyDescent="0.25">
      <c r="A29" s="90" t="s">
        <v>112</v>
      </c>
      <c r="B29" s="90"/>
      <c r="C29" s="90"/>
      <c r="D29" s="84">
        <v>13.5</v>
      </c>
      <c r="E29" s="87">
        <v>-32.299999999999997</v>
      </c>
      <c r="F29" s="87">
        <v>-24.1</v>
      </c>
      <c r="G29" s="87"/>
      <c r="I29" t="s">
        <v>115</v>
      </c>
      <c r="J29" s="96">
        <v>55.2</v>
      </c>
      <c r="K29" s="97">
        <v>-47</v>
      </c>
      <c r="L29" s="97">
        <v>-3.9</v>
      </c>
      <c r="M29" s="97"/>
      <c r="P29" s="97"/>
      <c r="S29" s="96"/>
    </row>
    <row r="30" spans="1:19" x14ac:dyDescent="0.25">
      <c r="A30" s="90" t="s">
        <v>113</v>
      </c>
      <c r="B30" s="90"/>
      <c r="C30" s="90"/>
      <c r="D30" s="87">
        <v>-12.8</v>
      </c>
      <c r="E30" s="87">
        <v>-21.7</v>
      </c>
      <c r="F30" s="87">
        <v>-2.2000000000000002</v>
      </c>
      <c r="G30" s="87"/>
      <c r="I30" t="s">
        <v>72</v>
      </c>
      <c r="J30" s="96">
        <v>20.399999999999999</v>
      </c>
      <c r="K30" s="97">
        <v>-3.3</v>
      </c>
      <c r="L30" s="97">
        <v>-7.2</v>
      </c>
      <c r="M30" s="97"/>
      <c r="P30" s="97"/>
      <c r="S30" s="96"/>
    </row>
    <row r="31" spans="1:19" x14ac:dyDescent="0.25">
      <c r="A31" s="90" t="s">
        <v>114</v>
      </c>
      <c r="B31" s="90"/>
      <c r="C31" s="90"/>
      <c r="D31" s="87">
        <v>-6.6</v>
      </c>
      <c r="E31" s="87">
        <v>-30.4</v>
      </c>
      <c r="F31" s="87">
        <v>-13.4</v>
      </c>
      <c r="G31" s="87"/>
      <c r="I31" t="s">
        <v>116</v>
      </c>
      <c r="J31" t="s">
        <v>60</v>
      </c>
      <c r="K31" t="s">
        <v>60</v>
      </c>
      <c r="L31" s="97">
        <v>-139.1</v>
      </c>
      <c r="M31" s="97"/>
    </row>
    <row r="32" spans="1:19" x14ac:dyDescent="0.25">
      <c r="A32" s="90" t="s">
        <v>115</v>
      </c>
      <c r="B32" s="90"/>
      <c r="C32" s="90"/>
      <c r="D32" s="87">
        <v>-40.9</v>
      </c>
      <c r="E32" s="84">
        <v>138.4</v>
      </c>
      <c r="F32" s="84">
        <v>17.399999999999999</v>
      </c>
      <c r="G32" s="84"/>
      <c r="I32" t="s">
        <v>117</v>
      </c>
      <c r="J32" s="96">
        <v>46.3</v>
      </c>
      <c r="K32" s="97">
        <v>-6.8</v>
      </c>
      <c r="L32" s="96">
        <v>47.6</v>
      </c>
      <c r="M32" s="96"/>
      <c r="P32" s="97"/>
      <c r="S32" s="96"/>
    </row>
    <row r="33" spans="1:19" x14ac:dyDescent="0.25">
      <c r="A33" s="90" t="s">
        <v>72</v>
      </c>
      <c r="B33" s="90"/>
      <c r="C33" s="90"/>
      <c r="D33" s="87">
        <v>-32.5</v>
      </c>
      <c r="E33" s="84">
        <v>10.199999999999999</v>
      </c>
      <c r="F33" s="84">
        <v>27.3</v>
      </c>
      <c r="G33" s="84"/>
      <c r="I33" t="s">
        <v>73</v>
      </c>
      <c r="J33" s="96">
        <v>477.8</v>
      </c>
      <c r="K33" s="96">
        <v>352.8</v>
      </c>
      <c r="L33" s="96">
        <v>703.9</v>
      </c>
      <c r="M33" s="96"/>
      <c r="P33" s="96"/>
      <c r="S33" s="96"/>
    </row>
    <row r="34" spans="1:19" x14ac:dyDescent="0.25">
      <c r="A34" s="90" t="s">
        <v>116</v>
      </c>
      <c r="B34" s="90"/>
      <c r="C34" s="90"/>
      <c r="D34" s="87">
        <v>-94.8</v>
      </c>
      <c r="E34" s="87">
        <v>-136.5</v>
      </c>
      <c r="F34" s="87">
        <v>-83</v>
      </c>
      <c r="G34" s="87"/>
      <c r="I34" s="83" t="s">
        <v>118</v>
      </c>
    </row>
    <row r="35" spans="1:19" x14ac:dyDescent="0.25">
      <c r="A35" s="90" t="s">
        <v>117</v>
      </c>
      <c r="B35" s="90"/>
      <c r="C35" s="90"/>
      <c r="D35" s="84">
        <v>16.3</v>
      </c>
      <c r="E35" s="84">
        <v>65.2</v>
      </c>
      <c r="F35" s="87">
        <v>-2.2000000000000002</v>
      </c>
      <c r="G35" s="87"/>
      <c r="I35" t="s">
        <v>149</v>
      </c>
      <c r="J35" s="97">
        <v>-25.1</v>
      </c>
      <c r="K35" s="97">
        <v>-2.9</v>
      </c>
      <c r="L35" s="97">
        <v>-25.1</v>
      </c>
      <c r="M35" s="97"/>
      <c r="P35" s="97"/>
      <c r="S35" s="97"/>
    </row>
    <row r="36" spans="1:19" x14ac:dyDescent="0.25">
      <c r="A36" s="90" t="s">
        <v>71</v>
      </c>
      <c r="B36" s="90"/>
      <c r="C36" s="90"/>
      <c r="D36" s="87">
        <v>-1.1000000000000001</v>
      </c>
      <c r="E36" s="87">
        <v>-0.8</v>
      </c>
      <c r="F36" s="84">
        <v>13.1</v>
      </c>
      <c r="G36" s="84"/>
      <c r="I36" t="s">
        <v>150</v>
      </c>
      <c r="J36" s="97">
        <v>-74.2</v>
      </c>
      <c r="K36" s="97">
        <v>-89.7</v>
      </c>
      <c r="L36" s="97">
        <v>-165.5</v>
      </c>
      <c r="M36" s="97"/>
      <c r="P36" s="97"/>
      <c r="S36" s="97"/>
    </row>
    <row r="37" spans="1:19" x14ac:dyDescent="0.25">
      <c r="A37" s="90" t="s">
        <v>73</v>
      </c>
      <c r="B37" s="90"/>
      <c r="C37" s="90"/>
      <c r="D37" s="84">
        <v>338.8</v>
      </c>
      <c r="E37" s="84">
        <v>896.1</v>
      </c>
      <c r="F37" s="84">
        <v>878.2</v>
      </c>
      <c r="G37" s="84"/>
      <c r="I37" t="s">
        <v>123</v>
      </c>
      <c r="J37" s="97">
        <v>-127.7</v>
      </c>
      <c r="K37" s="97">
        <v>-1945.2</v>
      </c>
      <c r="L37" s="97">
        <v>-1359.4</v>
      </c>
      <c r="M37" s="97"/>
      <c r="P37" s="97"/>
      <c r="S37" s="97"/>
    </row>
    <row r="38" spans="1:19" x14ac:dyDescent="0.25">
      <c r="A38" s="90" t="s">
        <v>118</v>
      </c>
      <c r="B38" s="90"/>
      <c r="C38" s="90"/>
      <c r="I38" t="s">
        <v>151</v>
      </c>
      <c r="J38" t="s">
        <v>60</v>
      </c>
      <c r="K38" t="s">
        <v>60</v>
      </c>
      <c r="L38" s="96">
        <v>961.1</v>
      </c>
      <c r="M38" s="96"/>
    </row>
    <row r="39" spans="1:19" x14ac:dyDescent="0.25">
      <c r="A39" s="90" t="s">
        <v>119</v>
      </c>
      <c r="B39" s="90"/>
      <c r="C39" s="90"/>
      <c r="D39" s="87">
        <v>-137</v>
      </c>
      <c r="E39" s="87">
        <v>-244.1</v>
      </c>
      <c r="F39" s="87">
        <v>-263.39999999999998</v>
      </c>
      <c r="G39" s="87"/>
      <c r="I39" t="s">
        <v>152</v>
      </c>
      <c r="J39" t="s">
        <v>60</v>
      </c>
      <c r="K39" s="96">
        <v>661.7</v>
      </c>
      <c r="L39" t="s">
        <v>60</v>
      </c>
      <c r="P39" s="96"/>
    </row>
    <row r="40" spans="1:19" x14ac:dyDescent="0.25">
      <c r="A40" s="90" t="s">
        <v>120</v>
      </c>
      <c r="B40" s="90"/>
      <c r="C40" s="90"/>
      <c r="D40" s="84">
        <v>16.100000000000001</v>
      </c>
      <c r="E40" s="84">
        <v>1.5</v>
      </c>
      <c r="F40" s="84">
        <v>4.9000000000000004</v>
      </c>
      <c r="G40" s="84"/>
      <c r="I40" t="s">
        <v>125</v>
      </c>
      <c r="J40" s="97">
        <v>-1.6</v>
      </c>
      <c r="K40" s="97">
        <v>-81.599999999999994</v>
      </c>
      <c r="L40" s="97">
        <v>-11.7</v>
      </c>
      <c r="M40" s="97"/>
      <c r="P40" s="97"/>
      <c r="S40" s="97"/>
    </row>
    <row r="41" spans="1:19" x14ac:dyDescent="0.25">
      <c r="A41" s="90" t="s">
        <v>121</v>
      </c>
      <c r="B41" s="90"/>
      <c r="C41" s="90"/>
      <c r="D41" s="84">
        <v>32.700000000000003</v>
      </c>
      <c r="E41" s="83" t="s">
        <v>60</v>
      </c>
      <c r="F41" s="84">
        <v>25.4</v>
      </c>
      <c r="G41" s="84"/>
      <c r="I41" t="s">
        <v>126</v>
      </c>
      <c r="J41" t="s">
        <v>60</v>
      </c>
      <c r="K41" t="s">
        <v>60</v>
      </c>
      <c r="L41" s="97">
        <v>-5.0999999999999996</v>
      </c>
      <c r="M41" s="97"/>
    </row>
    <row r="42" spans="1:19" x14ac:dyDescent="0.25">
      <c r="A42" s="90" t="s">
        <v>122</v>
      </c>
      <c r="B42" s="90"/>
      <c r="C42" s="90"/>
      <c r="D42" s="87">
        <v>-135</v>
      </c>
      <c r="E42" s="83" t="s">
        <v>60</v>
      </c>
      <c r="F42" s="83" t="s">
        <v>60</v>
      </c>
      <c r="G42" s="83"/>
      <c r="I42" t="s">
        <v>153</v>
      </c>
      <c r="J42" s="97">
        <v>-0.5</v>
      </c>
      <c r="K42" s="96">
        <v>18.899999999999999</v>
      </c>
      <c r="L42" s="97">
        <v>-0.4</v>
      </c>
      <c r="M42" s="97"/>
      <c r="P42" s="96"/>
      <c r="S42" s="97"/>
    </row>
    <row r="43" spans="1:19" x14ac:dyDescent="0.25">
      <c r="A43" s="90" t="s">
        <v>123</v>
      </c>
      <c r="B43" s="90"/>
      <c r="C43" s="90"/>
      <c r="D43" s="87">
        <v>-3</v>
      </c>
      <c r="E43" s="87">
        <v>-877.6</v>
      </c>
      <c r="F43" s="83" t="s">
        <v>60</v>
      </c>
      <c r="G43" s="83"/>
      <c r="I43" t="s">
        <v>154</v>
      </c>
      <c r="J43" t="s">
        <v>60</v>
      </c>
      <c r="K43" s="96">
        <v>15.2</v>
      </c>
      <c r="L43" t="s">
        <v>60</v>
      </c>
      <c r="P43" s="96"/>
    </row>
    <row r="44" spans="1:19" x14ac:dyDescent="0.25">
      <c r="A44" s="90" t="s">
        <v>124</v>
      </c>
      <c r="B44" s="90"/>
      <c r="C44" s="90"/>
      <c r="D44" s="83" t="s">
        <v>60</v>
      </c>
      <c r="E44" s="87">
        <v>-42</v>
      </c>
      <c r="F44" s="83" t="s">
        <v>60</v>
      </c>
      <c r="G44" s="83"/>
      <c r="I44" t="s">
        <v>155</v>
      </c>
      <c r="J44" s="96">
        <v>8.1999999999999993</v>
      </c>
      <c r="K44" s="96">
        <v>0.5</v>
      </c>
      <c r="L44" t="s">
        <v>60</v>
      </c>
      <c r="P44" s="96"/>
      <c r="S44" s="96"/>
    </row>
    <row r="45" spans="1:19" x14ac:dyDescent="0.25">
      <c r="I45" t="s">
        <v>71</v>
      </c>
      <c r="J45" s="97">
        <v>-0.7</v>
      </c>
      <c r="K45" t="s">
        <v>60</v>
      </c>
      <c r="L45" s="97">
        <v>-1.4</v>
      </c>
      <c r="M45" s="97"/>
      <c r="S45" s="97"/>
    </row>
    <row r="46" spans="1:19" x14ac:dyDescent="0.25">
      <c r="I46" t="s">
        <v>61</v>
      </c>
      <c r="J46" s="97">
        <v>-221.6</v>
      </c>
      <c r="K46" s="97">
        <v>-1423.1</v>
      </c>
      <c r="L46" s="97">
        <v>-607.5</v>
      </c>
      <c r="M46" s="97"/>
      <c r="P46" s="97"/>
      <c r="S46" s="97"/>
    </row>
    <row r="47" spans="1:19" x14ac:dyDescent="0.25">
      <c r="A47" s="90" t="s">
        <v>125</v>
      </c>
      <c r="B47" s="90"/>
      <c r="C47" s="90"/>
      <c r="D47" s="87">
        <v>-4.8</v>
      </c>
      <c r="E47" s="87">
        <v>-24.2</v>
      </c>
      <c r="F47" s="87">
        <v>-9</v>
      </c>
      <c r="G47" s="87"/>
      <c r="L47" s="87"/>
      <c r="Q47" s="87"/>
    </row>
    <row r="48" spans="1:19" x14ac:dyDescent="0.25">
      <c r="A48" s="90" t="s">
        <v>126</v>
      </c>
      <c r="B48" s="90"/>
      <c r="C48" s="90"/>
      <c r="D48" s="83" t="s">
        <v>60</v>
      </c>
      <c r="E48" s="87">
        <v>-26</v>
      </c>
      <c r="F48" s="83" t="s">
        <v>60</v>
      </c>
      <c r="G48" s="83"/>
      <c r="L48" s="87"/>
      <c r="Q48" s="83"/>
    </row>
    <row r="49" spans="1:17" x14ac:dyDescent="0.25">
      <c r="A49" s="90" t="s">
        <v>127</v>
      </c>
      <c r="B49" s="90"/>
      <c r="C49" s="90"/>
      <c r="D49" s="83" t="s">
        <v>60</v>
      </c>
      <c r="E49" s="83" t="s">
        <v>60</v>
      </c>
      <c r="F49" s="87">
        <v>-15</v>
      </c>
      <c r="G49" s="87"/>
      <c r="L49" s="83"/>
      <c r="Q49" s="83"/>
    </row>
    <row r="50" spans="1:17" x14ac:dyDescent="0.25">
      <c r="C50" s="78"/>
      <c r="F50" s="37"/>
    </row>
    <row r="51" spans="1:17" x14ac:dyDescent="0.25">
      <c r="C51" s="78"/>
      <c r="F51" s="37"/>
    </row>
    <row r="52" spans="1:17" x14ac:dyDescent="0.25">
      <c r="C52" s="37"/>
      <c r="F52" s="37"/>
    </row>
    <row r="53" spans="1:17" x14ac:dyDescent="0.25">
      <c r="C53" s="79"/>
      <c r="F53" s="79"/>
    </row>
    <row r="55" spans="1:17" x14ac:dyDescent="0.25">
      <c r="C55" s="79"/>
      <c r="F55" s="79"/>
    </row>
    <row r="56" spans="1:17" x14ac:dyDescent="0.25">
      <c r="C56" s="79"/>
      <c r="F56" s="79"/>
    </row>
  </sheetData>
  <sortState xmlns:xlrd2="http://schemas.microsoft.com/office/spreadsheetml/2017/richdata2" columnSort="1" ref="D4:R49">
    <sortCondition ref="D4:R4"/>
  </sortState>
  <mergeCells count="44">
    <mergeCell ref="A18:C18"/>
    <mergeCell ref="A23:C23"/>
    <mergeCell ref="A30:C30"/>
    <mergeCell ref="A42:C42"/>
    <mergeCell ref="A43:C43"/>
    <mergeCell ref="A49:C49"/>
    <mergeCell ref="A48:C48"/>
    <mergeCell ref="A47:C47"/>
    <mergeCell ref="A44:C44"/>
    <mergeCell ref="A41:C41"/>
    <mergeCell ref="A40:C4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29:C29"/>
    <mergeCell ref="A28:C28"/>
    <mergeCell ref="A27:C27"/>
    <mergeCell ref="A26:C26"/>
    <mergeCell ref="A22:C22"/>
    <mergeCell ref="A21:C21"/>
    <mergeCell ref="A20:C20"/>
    <mergeCell ref="A19:C19"/>
    <mergeCell ref="A17:C17"/>
    <mergeCell ref="A16:C16"/>
    <mergeCell ref="A15:C15"/>
    <mergeCell ref="A14:C14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  <mergeCell ref="I1:N1"/>
    <mergeCell ref="I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8" sqref="E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v>0.25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3.7600000000000001E-2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1.65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'PENN DCF'!D66</f>
        <v>4607.8379999999997</v>
      </c>
      <c r="D12" s="2"/>
      <c r="E12" s="2" t="s">
        <v>33</v>
      </c>
      <c r="F12" s="2"/>
      <c r="G12" s="23">
        <f>'PENN DCF'!D63</f>
        <v>1225.0999999999999</v>
      </c>
      <c r="H12" s="2"/>
      <c r="I12" s="2" t="s">
        <v>45</v>
      </c>
      <c r="J12" s="2"/>
      <c r="K12" s="23">
        <f>G12+C12</f>
        <v>5832.9380000000001</v>
      </c>
      <c r="L12" s="2"/>
    </row>
    <row r="13" spans="1:12" x14ac:dyDescent="0.25">
      <c r="A13" s="2" t="s">
        <v>46</v>
      </c>
      <c r="B13" s="2"/>
      <c r="C13" s="45">
        <f>C12/K12</f>
        <v>0.78996862301639403</v>
      </c>
      <c r="D13" s="2"/>
      <c r="E13" s="2" t="s">
        <v>47</v>
      </c>
      <c r="F13" s="2"/>
      <c r="G13" s="46">
        <f>G12/K12</f>
        <v>0.21003137698360583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0.1366</v>
      </c>
      <c r="D14" s="2"/>
      <c r="E14" s="2" t="s">
        <v>49</v>
      </c>
      <c r="F14" s="2"/>
      <c r="G14" s="46">
        <v>8.1000000000000003E-2</v>
      </c>
      <c r="H14" s="2"/>
      <c r="I14" s="48" t="s">
        <v>1</v>
      </c>
      <c r="J14" s="49"/>
      <c r="K14" s="50">
        <f>C13*C14+G14*G13*(1-D6)</f>
        <v>0.12066912005579349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PENN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2023-07-13T16:05:52Z</dcterms:modified>
</cp:coreProperties>
</file>