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F6104011-027B-458B-8211-C8CCA9645C5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TGT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K43" i="1"/>
  <c r="L43" i="1"/>
  <c r="M43" i="1"/>
  <c r="N43" i="1"/>
  <c r="O43" i="1"/>
  <c r="P43" i="1"/>
  <c r="Q43" i="1"/>
  <c r="R43" i="1"/>
  <c r="I43" i="1"/>
  <c r="I41" i="1"/>
  <c r="I40" i="1"/>
  <c r="J22" i="1"/>
  <c r="K22" i="1"/>
  <c r="K40" i="1" s="1"/>
  <c r="K41" i="1" s="1"/>
  <c r="L22" i="1"/>
  <c r="M22" i="1"/>
  <c r="M40" i="1" s="1"/>
  <c r="M41" i="1" s="1"/>
  <c r="N22" i="1"/>
  <c r="O22" i="1"/>
  <c r="O40" i="1" s="1"/>
  <c r="O41" i="1" s="1"/>
  <c r="P22" i="1"/>
  <c r="Q22" i="1"/>
  <c r="Q40" i="1" s="1"/>
  <c r="Q41" i="1" s="1"/>
  <c r="R22" i="1"/>
  <c r="I22" i="1"/>
  <c r="J19" i="1"/>
  <c r="K19" i="1"/>
  <c r="L19" i="1"/>
  <c r="M19" i="1"/>
  <c r="N19" i="1"/>
  <c r="O19" i="1"/>
  <c r="P19" i="1"/>
  <c r="Q19" i="1"/>
  <c r="R19" i="1"/>
  <c r="I19" i="1"/>
  <c r="I25" i="1" s="1"/>
  <c r="J16" i="1"/>
  <c r="K16" i="1"/>
  <c r="L16" i="1"/>
  <c r="M16" i="1"/>
  <c r="N16" i="1"/>
  <c r="O16" i="1"/>
  <c r="P16" i="1"/>
  <c r="Q16" i="1"/>
  <c r="R16" i="1"/>
  <c r="I16" i="1"/>
  <c r="L63" i="1"/>
  <c r="L62" i="1"/>
  <c r="D60" i="1"/>
  <c r="G12" i="2" s="1"/>
  <c r="D62" i="1"/>
  <c r="J25" i="1"/>
  <c r="K25" i="1"/>
  <c r="L25" i="1"/>
  <c r="M25" i="1"/>
  <c r="N25" i="1"/>
  <c r="O25" i="1"/>
  <c r="P25" i="1"/>
  <c r="Q25" i="1"/>
  <c r="R25" i="1"/>
  <c r="H25" i="1"/>
  <c r="J40" i="1"/>
  <c r="J41" i="1" s="1"/>
  <c r="L40" i="1"/>
  <c r="L41" i="1" s="1"/>
  <c r="N40" i="1"/>
  <c r="N41" i="1" s="1"/>
  <c r="P40" i="1"/>
  <c r="P41" i="1" s="1"/>
  <c r="R40" i="1"/>
  <c r="R41" i="1" s="1"/>
  <c r="J11" i="1"/>
  <c r="K11" i="1"/>
  <c r="L11" i="1" s="1"/>
  <c r="M11" i="1" s="1"/>
  <c r="N11" i="1" s="1"/>
  <c r="O11" i="1" s="1"/>
  <c r="P11" i="1" s="1"/>
  <c r="Q11" i="1" s="1"/>
  <c r="R11" i="1" s="1"/>
  <c r="I11" i="1"/>
  <c r="C53" i="1"/>
  <c r="G46" i="1"/>
  <c r="H46" i="1"/>
  <c r="F46" i="1"/>
  <c r="D46" i="1"/>
  <c r="E46" i="1"/>
  <c r="C46" i="1"/>
  <c r="G43" i="1"/>
  <c r="H43" i="1"/>
  <c r="F43" i="1"/>
  <c r="D43" i="1"/>
  <c r="E43" i="1"/>
  <c r="C43" i="1"/>
  <c r="D40" i="1"/>
  <c r="E40" i="1"/>
  <c r="F40" i="1"/>
  <c r="G40" i="1"/>
  <c r="H40" i="1"/>
  <c r="C40" i="1"/>
  <c r="G36" i="1"/>
  <c r="H36" i="1"/>
  <c r="F36" i="1"/>
  <c r="E36" i="1"/>
  <c r="D36" i="1"/>
  <c r="C36" i="1"/>
  <c r="G28" i="1"/>
  <c r="H28" i="1"/>
  <c r="F28" i="1"/>
  <c r="D28" i="1"/>
  <c r="E28" i="1"/>
  <c r="C28" i="1"/>
  <c r="D25" i="1"/>
  <c r="H23" i="1"/>
  <c r="G22" i="1"/>
  <c r="G23" i="1" s="1"/>
  <c r="H22" i="1"/>
  <c r="F22" i="1"/>
  <c r="F23" i="1" s="1"/>
  <c r="D22" i="1"/>
  <c r="E22" i="1"/>
  <c r="E23" i="1" s="1"/>
  <c r="C22" i="1"/>
  <c r="C23" i="1" s="1"/>
  <c r="G19" i="1"/>
  <c r="G25" i="1" s="1"/>
  <c r="H19" i="1"/>
  <c r="F19" i="1"/>
  <c r="F25" i="1" s="1"/>
  <c r="D19" i="1"/>
  <c r="E19" i="1"/>
  <c r="E25" i="1" s="1"/>
  <c r="C19" i="1"/>
  <c r="C25" i="1" s="1"/>
  <c r="G14" i="1"/>
  <c r="H14" i="1"/>
  <c r="F14" i="1"/>
  <c r="D14" i="1"/>
  <c r="E14" i="1"/>
  <c r="E16" i="1" s="1"/>
  <c r="E27" i="1" s="1"/>
  <c r="C14" i="1"/>
  <c r="G11" i="1"/>
  <c r="G16" i="1" s="1"/>
  <c r="G27" i="1" s="1"/>
  <c r="H11" i="1"/>
  <c r="F11" i="1"/>
  <c r="F16" i="1" s="1"/>
  <c r="F27" i="1" s="1"/>
  <c r="E11" i="1"/>
  <c r="D11" i="1"/>
  <c r="D16" i="1" s="1"/>
  <c r="D27" i="1" s="1"/>
  <c r="C11" i="1"/>
  <c r="L60" i="1"/>
  <c r="L59" i="1" s="1"/>
  <c r="D63" i="1"/>
  <c r="C12" i="2" s="1"/>
  <c r="C14" i="2"/>
  <c r="E41" i="1"/>
  <c r="J9" i="1"/>
  <c r="K9" i="1" s="1"/>
  <c r="L9" i="1" s="1"/>
  <c r="M9" i="1" s="1"/>
  <c r="N9" i="1" s="1"/>
  <c r="O9" i="1" s="1"/>
  <c r="P9" i="1" s="1"/>
  <c r="Q9" i="1" s="1"/>
  <c r="R9" i="1" s="1"/>
  <c r="R28" i="1" l="1"/>
  <c r="C41" i="1"/>
  <c r="D23" i="1"/>
  <c r="G31" i="1"/>
  <c r="G51" i="1" s="1"/>
  <c r="C16" i="1"/>
  <c r="C27" i="1" s="1"/>
  <c r="C31" i="1" s="1"/>
  <c r="C51" i="1" s="1"/>
  <c r="H16" i="1"/>
  <c r="H27" i="1" s="1"/>
  <c r="E20" i="1"/>
  <c r="D47" i="1"/>
  <c r="F12" i="1"/>
  <c r="F20" i="1"/>
  <c r="C29" i="1"/>
  <c r="D29" i="1"/>
  <c r="H29" i="1"/>
  <c r="E29" i="1"/>
  <c r="F29" i="1"/>
  <c r="G29" i="1"/>
  <c r="P28" i="1"/>
  <c r="N28" i="1"/>
  <c r="L28" i="1"/>
  <c r="J28" i="1"/>
  <c r="I28" i="1"/>
  <c r="Q28" i="1"/>
  <c r="O28" i="1"/>
  <c r="M28" i="1"/>
  <c r="K28" i="1"/>
  <c r="C47" i="1"/>
  <c r="D41" i="1"/>
  <c r="F44" i="1"/>
  <c r="F47" i="1"/>
  <c r="G44" i="1"/>
  <c r="E47" i="1"/>
  <c r="G47" i="1"/>
  <c r="G41" i="1"/>
  <c r="G12" i="1"/>
  <c r="F41" i="1"/>
  <c r="G20" i="1"/>
  <c r="D20" i="1"/>
  <c r="D31" i="1"/>
  <c r="D51" i="1" s="1"/>
  <c r="F31" i="1"/>
  <c r="F51" i="1" s="1"/>
  <c r="C20" i="1"/>
  <c r="D12" i="1"/>
  <c r="D44" i="1"/>
  <c r="H12" i="1"/>
  <c r="E31" i="1"/>
  <c r="E51" i="1" s="1"/>
  <c r="D17" i="1"/>
  <c r="F17" i="1"/>
  <c r="C17" i="1"/>
  <c r="H20" i="1"/>
  <c r="H41" i="1"/>
  <c r="C44" i="1"/>
  <c r="H44" i="1"/>
  <c r="H31" i="1"/>
  <c r="H51" i="1" s="1"/>
  <c r="H47" i="1"/>
  <c r="E12" i="1"/>
  <c r="E44" i="1"/>
  <c r="K12" i="2"/>
  <c r="G13" i="2" s="1"/>
  <c r="G33" i="1"/>
  <c r="G49" i="1" s="1"/>
  <c r="G17" i="1"/>
  <c r="E17" i="1" l="1"/>
  <c r="E33" i="1"/>
  <c r="H17" i="1"/>
  <c r="C13" i="2"/>
  <c r="K14" i="2" s="1"/>
  <c r="E5" i="1" s="1"/>
  <c r="F33" i="1"/>
  <c r="F49" i="1" s="1"/>
  <c r="D33" i="1"/>
  <c r="D49" i="1" s="1"/>
  <c r="H33" i="1"/>
  <c r="G37" i="1"/>
  <c r="G34" i="1"/>
  <c r="G53" i="1"/>
  <c r="H49" i="1" l="1"/>
  <c r="H53" i="1" s="1"/>
  <c r="E49" i="1"/>
  <c r="E53" i="1" s="1"/>
  <c r="E34" i="1"/>
  <c r="E37" i="1"/>
  <c r="H34" i="1"/>
  <c r="F37" i="1"/>
  <c r="F53" i="1"/>
  <c r="D53" i="1"/>
  <c r="C33" i="1"/>
  <c r="C49" i="1" s="1"/>
  <c r="D34" i="1"/>
  <c r="D37" i="1"/>
  <c r="F34" i="1"/>
  <c r="H37" i="1"/>
  <c r="C37" i="1" l="1"/>
  <c r="C34" i="1"/>
  <c r="I46" i="1"/>
  <c r="J46" i="1" l="1"/>
  <c r="K46" i="1" l="1"/>
  <c r="L46" i="1" l="1"/>
  <c r="M46" i="1" l="1"/>
  <c r="N46" i="1" l="1"/>
  <c r="O46" i="1" l="1"/>
  <c r="P46" i="1" l="1"/>
  <c r="Q46" i="1" l="1"/>
  <c r="R46" i="1" l="1"/>
  <c r="I14" i="1" l="1"/>
  <c r="I27" i="1" l="1"/>
  <c r="I33" i="1" l="1"/>
  <c r="I31" i="1"/>
  <c r="I36" i="1" l="1"/>
  <c r="I51" i="1" s="1"/>
  <c r="I34" i="1"/>
  <c r="M14" i="1"/>
  <c r="M27" i="1"/>
  <c r="M31" i="1" s="1"/>
  <c r="L14" i="1"/>
  <c r="L27" i="1"/>
  <c r="L31" i="1" s="1"/>
  <c r="J14" i="1"/>
  <c r="J27" i="1"/>
  <c r="J31" i="1" s="1"/>
  <c r="R14" i="1"/>
  <c r="R27" i="1"/>
  <c r="R31" i="1" s="1"/>
  <c r="N14" i="1"/>
  <c r="N27" i="1"/>
  <c r="N31" i="1" s="1"/>
  <c r="Q14" i="1"/>
  <c r="Q27" i="1"/>
  <c r="Q33" i="1" s="1"/>
  <c r="K14" i="1"/>
  <c r="K27" i="1"/>
  <c r="K31" i="1" s="1"/>
  <c r="P14" i="1"/>
  <c r="P27" i="1"/>
  <c r="P31" i="1" s="1"/>
  <c r="O14" i="1"/>
  <c r="O27" i="1"/>
  <c r="O31" i="1" s="1"/>
  <c r="J33" i="1" l="1"/>
  <c r="R33" i="1"/>
  <c r="R34" i="1" s="1"/>
  <c r="L33" i="1"/>
  <c r="L36" i="1" s="1"/>
  <c r="L49" i="1" s="1"/>
  <c r="L53" i="1" s="1"/>
  <c r="L54" i="1" s="1"/>
  <c r="I49" i="1"/>
  <c r="I53" i="1" s="1"/>
  <c r="I54" i="1" s="1"/>
  <c r="Q34" i="1"/>
  <c r="Q36" i="1"/>
  <c r="Q49" i="1"/>
  <c r="Q53" i="1" s="1"/>
  <c r="Q54" i="1" s="1"/>
  <c r="O33" i="1"/>
  <c r="P33" i="1"/>
  <c r="K33" i="1"/>
  <c r="Q31" i="1"/>
  <c r="Q51" i="1" s="1"/>
  <c r="N33" i="1"/>
  <c r="R36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J34" i="1"/>
  <c r="J36" i="1"/>
  <c r="J49" i="1" s="1"/>
  <c r="J53" i="1" s="1"/>
  <c r="J54" i="1" s="1"/>
  <c r="L34" i="1"/>
  <c r="M33" i="1"/>
  <c r="N36" i="1" l="1"/>
  <c r="N51" i="1" s="1"/>
  <c r="N34" i="1"/>
  <c r="K36" i="1"/>
  <c r="K51" i="1" s="1"/>
  <c r="K34" i="1"/>
  <c r="O36" i="1"/>
  <c r="O51" i="1" s="1"/>
  <c r="O34" i="1"/>
  <c r="O49" i="1"/>
  <c r="O53" i="1" s="1"/>
  <c r="O54" i="1" s="1"/>
  <c r="J51" i="1"/>
  <c r="L51" i="1"/>
  <c r="M36" i="1"/>
  <c r="M51" i="1" s="1"/>
  <c r="M34" i="1"/>
  <c r="R49" i="1"/>
  <c r="R53" i="1" s="1"/>
  <c r="P34" i="1"/>
  <c r="P36" i="1"/>
  <c r="P51" i="1" s="1"/>
  <c r="M49" i="1" l="1"/>
  <c r="M53" i="1" s="1"/>
  <c r="M54" i="1" s="1"/>
  <c r="F56" i="1"/>
  <c r="H59" i="1" s="1"/>
  <c r="H61" i="1" s="1"/>
  <c r="H64" i="1" s="1"/>
  <c r="P49" i="1"/>
  <c r="P53" i="1" s="1"/>
  <c r="P54" i="1" s="1"/>
  <c r="C56" i="1"/>
  <c r="C57" i="1" s="1"/>
  <c r="R54" i="1"/>
  <c r="K49" i="1"/>
  <c r="K53" i="1" s="1"/>
  <c r="K54" i="1" s="1"/>
  <c r="N49" i="1"/>
  <c r="N53" i="1" s="1"/>
  <c r="N54" i="1" s="1"/>
  <c r="G59" i="1" l="1"/>
  <c r="G61" i="1" s="1"/>
  <c r="G64" i="1" s="1"/>
  <c r="E64" i="1" s="1"/>
  <c r="J6" i="1" s="1"/>
  <c r="N5" i="1" s="1"/>
  <c r="L58" i="1" l="1"/>
</calcChain>
</file>

<file path=xl/sharedStrings.xml><?xml version="1.0" encoding="utf-8"?>
<sst xmlns="http://schemas.openxmlformats.org/spreadsheetml/2006/main" count="219" uniqueCount="131">
  <si>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</si>
  <si>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</si>
  <si>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</si>
  <si>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</si>
  <si>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</si>
  <si>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</si>
  <si>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</si>
  <si>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</si>
  <si>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</si>
  <si>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</si>
  <si>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</si>
  <si>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</si>
  <si>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</si>
  <si>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</si>
  <si>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</si>
  <si>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</si>
  <si>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</si>
  <si>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</si>
  <si>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</si>
  <si>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</si>
  <si>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</si>
  <si>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</si>
  <si>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</si>
  <si>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</si>
  <si>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</si>
  <si>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</si>
  <si>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</si>
  <si>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</si>
  <si>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</si>
  <si>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</si>
  <si>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</si>
  <si>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</si>
  <si>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</si>
  <si>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</si>
  <si>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</si>
  <si>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</si>
  <si>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</si>
  <si>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</si>
  <si>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</si>
  <si>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</si>
  <si>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</si>
  <si>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</si>
  <si>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</si>
  <si>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</si>
  <si>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</si>
  <si>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</si>
  <si>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</si>
  <si>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</si>
  <si>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</si>
  <si>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</si>
  <si>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</si>
  <si>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</si>
  <si>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Diluted</t>
  </si>
  <si>
    <t>Continuing operations</t>
  </si>
  <si>
    <t>Discontinued operations</t>
  </si>
  <si>
    <t>Basic</t>
  </si>
  <si>
    <t>Deferred income taxes</t>
  </si>
  <si>
    <t>Other assets</t>
  </si>
  <si>
    <t>Income taxes paid</t>
  </si>
  <si>
    <t>Other income</t>
  </si>
  <si>
    <t>Terminal Growth Rate</t>
  </si>
  <si>
    <t>Consolidated Statements of Operations</t>
  </si>
  <si>
    <t>(millions, except per share data)</t>
  </si>
  <si>
    <t>2022</t>
  </si>
  <si>
    <t>2021</t>
  </si>
  <si>
    <t>2020</t>
  </si>
  <si>
    <t>Sales</t>
  </si>
  <si>
    <t>Other revenue</t>
  </si>
  <si>
    <t>Total revenue</t>
  </si>
  <si>
    <t>Cost of sales</t>
  </si>
  <si>
    <t>Selling, general and administrative expenses</t>
  </si>
  <si>
    <t>Depreciation and amortization (exclusive of depreciation included in cost of sales)</t>
  </si>
  <si>
    <t>Net interest expense</t>
  </si>
  <si>
    <t>Net other (income) / expense</t>
  </si>
  <si>
    <t>Earnings before income taxes</t>
  </si>
  <si>
    <t>Provision for income taxes</t>
  </si>
  <si>
    <t>Net earnings</t>
  </si>
  <si>
    <t>Basic earnings per share</t>
  </si>
  <si>
    <t>Diluted earnings per share</t>
  </si>
  <si>
    <t>Weighted average common shares outstanding</t>
  </si>
  <si>
    <t>Antidilutive shares</t>
  </si>
  <si>
    <t>—</t>
  </si>
  <si>
    <t>Consolidated Statements of Cash Flows</t>
  </si>
  <si>
    <t>(millions)</t>
  </si>
  <si>
    <t>Operating activities</t>
  </si>
  <si>
    <t>Adjustments to reconcile net earnings to cash provided by operations:</t>
  </si>
  <si>
    <t>Share-based compensation expense</t>
  </si>
  <si>
    <t>Gain on Dermstore sale</t>
  </si>
  <si>
    <t>Loss on debt extinguishment</t>
  </si>
  <si>
    <t>Noncash losses   /   (gains) and other, net</t>
  </si>
  <si>
    <t>Changes in operating accounts:</t>
  </si>
  <si>
    <t>Inventory</t>
  </si>
  <si>
    <t>Accounts payable</t>
  </si>
  <si>
    <t>Accrued and other liabilities</t>
  </si>
  <si>
    <t>Cash provided by operating activities</t>
  </si>
  <si>
    <t>Investing activities</t>
  </si>
  <si>
    <t>Expenditures for property and equipment</t>
  </si>
  <si>
    <t>Proceeds from disposal of property and equipment</t>
  </si>
  <si>
    <t>Proceeds from Dermstore sale</t>
  </si>
  <si>
    <t>Other investments</t>
  </si>
  <si>
    <t>Cash required for investing activities</t>
  </si>
  <si>
    <t>Financing activities</t>
  </si>
  <si>
    <t>Additions to long-term debt</t>
  </si>
  <si>
    <t>Reductions of long-term debt</t>
  </si>
  <si>
    <t>Dividends paid</t>
  </si>
  <si>
    <t>Repurchase of stock</t>
  </si>
  <si>
    <t>Stock option exercises</t>
  </si>
  <si>
    <t>Cash required for financing activities</t>
  </si>
  <si>
    <t>Net (decrease)   /   increase in cash and cash equivalents</t>
  </si>
  <si>
    <t>Cash and cash equivalents at beginning of period</t>
  </si>
  <si>
    <t>Cash and cash equivalents at end of period</t>
  </si>
  <si>
    <t>Supplemental information</t>
  </si>
  <si>
    <t>Interest paid, net of capitalized interest</t>
  </si>
  <si>
    <t>Leased assets obtained in exchange for new finance lease liabilities</t>
  </si>
  <si>
    <t>Leased assets obtained in exchange for new operating lease liabilities</t>
  </si>
  <si>
    <t>2019</t>
  </si>
  <si>
    <t>2018</t>
  </si>
  <si>
    <t>2017</t>
  </si>
  <si>
    <t>Earnings from continuing operations before income taxes</t>
  </si>
  <si>
    <t>Net earnings from continuing operations</t>
  </si>
  <si>
    <t>Discontinued operations, net of tax</t>
  </si>
  <si>
    <t>Net earnings per share</t>
  </si>
  <si>
    <t>Earnings from discontinued operations, net of tax</t>
  </si>
  <si>
    <t>Noncash losses / (gains) and other, net</t>
  </si>
  <si>
    <t>Cash provided by operating activities—continuing operations</t>
  </si>
  <si>
    <t>Cash provided by operating activities—discontinued operations</t>
  </si>
  <si>
    <t>Cash provided by operations</t>
  </si>
  <si>
    <t>Cash paid for acquisitions, net of cash assumed</t>
  </si>
  <si>
    <t>Net (decrease) / increase in cash and cash equivalents</t>
  </si>
  <si>
    <t>Target DCF</t>
  </si>
  <si>
    <t>Update: 28/08/2023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</si>
</sst>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8" formatCode="_(\$* #,##0_);_(\$* \(#,##0\);_(\$* &quot;-&quot;_);_(@_)"/>
    <numFmt numFmtId="169" formatCode="\(#,##0_);[Red]\(#,##0\)"/>
    <numFmt numFmtId="170" formatCode="_(\$* #,##0.00_);_(\$* \(#,##0.00\);_(\$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0" borderId="0" xfId="0" applyFont="1" applyAlignment="1"/>
    <xf numFmtId="4" fontId="2" fillId="0" borderId="0" xfId="0" applyNumberFormat="1" applyFont="1" applyAlignment="1"/>
    <xf numFmtId="170" fontId="2" fillId="0" borderId="0" xfId="0" applyNumberFormat="1" applyFont="1" applyAlignment="1"/>
    <xf numFmtId="168" fontId="2" fillId="0" borderId="0" xfId="0" applyNumberFormat="1" applyFont="1" applyAlignment="1"/>
    <xf numFmtId="3" fontId="2" fillId="0" borderId="0" xfId="0" applyNumberFormat="1" applyFont="1" applyAlignment="1"/>
    <xf numFmtId="169" fontId="2" fillId="0" borderId="0" xfId="0" applyNumberFormat="1" applyFont="1" applyAlignment="1"/>
    <xf numFmtId="0" fontId="0" fillId="0" borderId="0" xfId="0" applyAlignment="1"/>
    <xf numFmtId="4" fontId="0" fillId="0" borderId="0" xfId="0" applyNumberFormat="1" applyAlignment="1"/>
    <xf numFmtId="170" fontId="0" fillId="0" borderId="0" xfId="0" applyNumberFormat="1" applyAlignment="1"/>
    <xf numFmtId="168" fontId="0" fillId="0" borderId="0" xfId="0" applyNumberFormat="1" applyAlignment="1"/>
    <xf numFmtId="3" fontId="0" fillId="0" borderId="0" xfId="0" applyNumberFormat="1" applyAlignment="1"/>
    <xf numFmtId="169" fontId="0" fillId="0" borderId="0" xfId="0" applyNumberFormat="1" applyAlignment="1"/>
    <xf numFmtId="3" fontId="3" fillId="2" borderId="0" xfId="1" applyNumberFormat="1" applyFont="1" applyFill="1"/>
    <xf numFmtId="1" fontId="7" fillId="2" borderId="3" xfId="1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3" fontId="3" fillId="2" borderId="0" xfId="0" applyNumberFormat="1" applyFont="1" applyFill="1" applyBorder="1"/>
    <xf numFmtId="164" fontId="7" fillId="11" borderId="0" xfId="0" applyNumberFormat="1" applyFont="1" applyFill="1" applyBorder="1"/>
    <xf numFmtId="1" fontId="7" fillId="2" borderId="0" xfId="1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topLeftCell="C2" zoomScaleNormal="100" workbookViewId="0">
      <selection activeCell="I67" sqref="I67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129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9.0460137680862904E-2</v>
      </c>
      <c r="F5" s="2"/>
      <c r="G5" s="1"/>
      <c r="H5" s="1" t="s">
        <v>2</v>
      </c>
      <c r="I5" s="1"/>
      <c r="J5" s="7">
        <v>123.41</v>
      </c>
      <c r="K5" s="1"/>
      <c r="L5" s="1" t="s">
        <v>3</v>
      </c>
      <c r="M5" s="1"/>
      <c r="N5" s="7">
        <f>(J6/J5)-1</f>
        <v>0.27624365695244335</v>
      </c>
      <c r="O5" s="1"/>
      <c r="P5" s="1" t="s">
        <v>130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8">
        <f>E64</f>
        <v>157.50122970450104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f>'Raw IS'!L5</f>
        <v>72714</v>
      </c>
      <c r="D11" s="11">
        <f>'Raw IS'!M5</f>
        <v>75356</v>
      </c>
      <c r="E11" s="11">
        <f>'Raw IS'!N5</f>
        <v>78112</v>
      </c>
      <c r="F11" s="11">
        <f>'Raw IS'!D7</f>
        <v>93561</v>
      </c>
      <c r="G11" s="11">
        <f>'Raw IS'!E7</f>
        <v>106005</v>
      </c>
      <c r="H11" s="11">
        <f>'Raw IS'!F7</f>
        <v>109120</v>
      </c>
      <c r="I11" s="20">
        <f>H11*(1+I12)</f>
        <v>107150</v>
      </c>
      <c r="J11" s="100">
        <f t="shared" ref="J11:R11" si="1">I11*(1+J12)</f>
        <v>108289.99999999999</v>
      </c>
      <c r="K11" s="100">
        <f t="shared" si="1"/>
        <v>112249.99999999999</v>
      </c>
      <c r="L11" s="100">
        <f t="shared" si="1"/>
        <v>116270</v>
      </c>
      <c r="M11" s="100">
        <f t="shared" si="1"/>
        <v>121150</v>
      </c>
      <c r="N11" s="100">
        <f t="shared" si="1"/>
        <v>126190</v>
      </c>
      <c r="O11" s="100">
        <f t="shared" si="1"/>
        <v>123410</v>
      </c>
      <c r="P11" s="100">
        <f t="shared" si="1"/>
        <v>126990</v>
      </c>
      <c r="Q11" s="100">
        <f t="shared" si="1"/>
        <v>130670</v>
      </c>
      <c r="R11" s="100">
        <f t="shared" si="1"/>
        <v>134460</v>
      </c>
    </row>
    <row r="12" spans="1:18" s="52" customFormat="1" x14ac:dyDescent="0.25">
      <c r="A12" s="1"/>
      <c r="B12" s="78" t="s">
        <v>8</v>
      </c>
      <c r="C12" s="79"/>
      <c r="D12" s="79">
        <f>(D11/C11)-1</f>
        <v>3.6334130978903589E-2</v>
      </c>
      <c r="E12" s="79">
        <f>(E11/D11)-1</f>
        <v>3.6573066510961372E-2</v>
      </c>
      <c r="F12" s="79">
        <f>(F11/E11)-1</f>
        <v>0.19778011061040557</v>
      </c>
      <c r="G12" s="79">
        <f>(G11/F11)-1</f>
        <v>0.13300413633885921</v>
      </c>
      <c r="H12" s="79">
        <f>(H11/G11)-1</f>
        <v>2.9385406348757082E-2</v>
      </c>
      <c r="I12" s="80">
        <v>-1.8053519061583589E-2</v>
      </c>
      <c r="J12" s="81">
        <v>1.063929071395231E-2</v>
      </c>
      <c r="K12" s="81">
        <v>3.6568473543263424E-2</v>
      </c>
      <c r="L12" s="81">
        <v>3.5812917594654881E-2</v>
      </c>
      <c r="M12" s="81">
        <v>4.1971273759353167E-2</v>
      </c>
      <c r="N12" s="81">
        <v>4.1601320676846854E-2</v>
      </c>
      <c r="O12" s="81">
        <v>-2.2030271812346514E-2</v>
      </c>
      <c r="P12" s="81">
        <v>2.9008994408880939E-2</v>
      </c>
      <c r="Q12" s="81">
        <v>2.8978659736987211E-2</v>
      </c>
      <c r="R12" s="81">
        <v>2.9004362133619122E-2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102"/>
      <c r="K13" s="102"/>
      <c r="L13" s="102"/>
      <c r="M13" s="102"/>
      <c r="N13" s="102"/>
      <c r="O13" s="102"/>
      <c r="P13" s="102"/>
      <c r="Q13" s="102"/>
      <c r="R13" s="102"/>
    </row>
    <row r="14" spans="1:18" s="52" customFormat="1" x14ac:dyDescent="0.25">
      <c r="A14" s="1"/>
      <c r="B14" s="1" t="s">
        <v>9</v>
      </c>
      <c r="C14" s="11">
        <f>'Raw IS'!L6</f>
        <v>51125</v>
      </c>
      <c r="D14" s="11">
        <f>'Raw IS'!M6</f>
        <v>53299</v>
      </c>
      <c r="E14" s="11">
        <f>'Raw IS'!N6</f>
        <v>54864</v>
      </c>
      <c r="F14" s="11">
        <f>'Raw IS'!D8</f>
        <v>66177</v>
      </c>
      <c r="G14" s="11">
        <f>'Raw IS'!E8</f>
        <v>74963</v>
      </c>
      <c r="H14" s="11">
        <f>'Raw IS'!F8</f>
        <v>82229</v>
      </c>
      <c r="I14" s="75">
        <f>-I16+I11</f>
        <v>79173.134999999995</v>
      </c>
      <c r="J14" s="76">
        <f t="shared" ref="J14:R14" si="2">-J16+J11</f>
        <v>79224.963999999978</v>
      </c>
      <c r="K14" s="76">
        <f t="shared" si="2"/>
        <v>82144.549999999988</v>
      </c>
      <c r="L14" s="76">
        <f t="shared" si="2"/>
        <v>85109.64</v>
      </c>
      <c r="M14" s="76">
        <f t="shared" si="2"/>
        <v>88621.225000000006</v>
      </c>
      <c r="N14" s="76">
        <f t="shared" si="2"/>
        <v>92307.985000000001</v>
      </c>
      <c r="O14" s="76">
        <f t="shared" si="2"/>
        <v>88238.15</v>
      </c>
      <c r="P14" s="76">
        <f t="shared" si="2"/>
        <v>90924.84</v>
      </c>
      <c r="Q14" s="76">
        <f t="shared" si="2"/>
        <v>93690.390000000014</v>
      </c>
      <c r="R14" s="76">
        <f t="shared" si="2"/>
        <v>96407.82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1"/>
      <c r="K15" s="101"/>
      <c r="L15" s="101"/>
      <c r="M15" s="101"/>
      <c r="N15" s="101"/>
      <c r="O15" s="101"/>
      <c r="P15" s="101"/>
      <c r="Q15" s="101"/>
      <c r="R15" s="101"/>
    </row>
    <row r="16" spans="1:18" s="52" customFormat="1" x14ac:dyDescent="0.25">
      <c r="A16" s="1"/>
      <c r="B16" s="1" t="s">
        <v>10</v>
      </c>
      <c r="C16" s="11">
        <f>C11-C14</f>
        <v>21589</v>
      </c>
      <c r="D16" s="11">
        <f t="shared" ref="D16:R16" si="3">D11-D14</f>
        <v>22057</v>
      </c>
      <c r="E16" s="11">
        <f t="shared" si="3"/>
        <v>23248</v>
      </c>
      <c r="F16" s="11">
        <f t="shared" si="3"/>
        <v>27384</v>
      </c>
      <c r="G16" s="11">
        <f t="shared" si="3"/>
        <v>31042</v>
      </c>
      <c r="H16" s="11">
        <f t="shared" si="3"/>
        <v>26891</v>
      </c>
      <c r="I16" s="38">
        <f>I17*I11</f>
        <v>27976.865000000002</v>
      </c>
      <c r="J16" s="103">
        <f t="shared" ref="J16:R16" si="4">J17*J11</f>
        <v>29065.036</v>
      </c>
      <c r="K16" s="103">
        <f t="shared" si="4"/>
        <v>30105.449999999997</v>
      </c>
      <c r="L16" s="103">
        <f t="shared" si="4"/>
        <v>31160.36</v>
      </c>
      <c r="M16" s="103">
        <f t="shared" si="4"/>
        <v>32528.775000000001</v>
      </c>
      <c r="N16" s="103">
        <f t="shared" si="4"/>
        <v>33882.014999999999</v>
      </c>
      <c r="O16" s="103">
        <f t="shared" si="4"/>
        <v>35171.85</v>
      </c>
      <c r="P16" s="103">
        <f t="shared" si="4"/>
        <v>36065.159999999996</v>
      </c>
      <c r="Q16" s="103">
        <f t="shared" si="4"/>
        <v>36979.609999999993</v>
      </c>
      <c r="R16" s="103">
        <f t="shared" si="4"/>
        <v>38052.179999999993</v>
      </c>
    </row>
    <row r="17" spans="1:18" s="52" customFormat="1" x14ac:dyDescent="0.25">
      <c r="A17" s="1"/>
      <c r="B17" s="78" t="s">
        <v>11</v>
      </c>
      <c r="C17" s="79">
        <f t="shared" ref="C17:R17" si="5">C16/C11</f>
        <v>0.29690293478559837</v>
      </c>
      <c r="D17" s="79">
        <f t="shared" si="5"/>
        <v>0.2927039651786188</v>
      </c>
      <c r="E17" s="79">
        <f t="shared" si="5"/>
        <v>0.29762392462105697</v>
      </c>
      <c r="F17" s="79">
        <f t="shared" si="5"/>
        <v>0.29268605508705553</v>
      </c>
      <c r="G17" s="79">
        <f t="shared" si="5"/>
        <v>0.29283524362058394</v>
      </c>
      <c r="H17" s="79">
        <f t="shared" si="5"/>
        <v>0.24643511730205278</v>
      </c>
      <c r="I17" s="83">
        <v>0.2611</v>
      </c>
      <c r="J17" s="104">
        <v>0.26840000000000003</v>
      </c>
      <c r="K17" s="104">
        <v>0.26819999999999999</v>
      </c>
      <c r="L17" s="104">
        <v>0.26800000000000002</v>
      </c>
      <c r="M17" s="104">
        <v>0.26850000000000002</v>
      </c>
      <c r="N17" s="104">
        <v>0.26850000000000002</v>
      </c>
      <c r="O17" s="104">
        <v>0.28499999999999998</v>
      </c>
      <c r="P17" s="104">
        <v>0.28399999999999997</v>
      </c>
      <c r="Q17" s="104">
        <v>0.28299999999999997</v>
      </c>
      <c r="R17" s="104">
        <v>0.28299999999999997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00"/>
      <c r="K18" s="100"/>
      <c r="L18" s="100"/>
      <c r="M18" s="100"/>
      <c r="N18" s="100"/>
      <c r="O18" s="100"/>
      <c r="P18" s="100"/>
      <c r="Q18" s="100"/>
      <c r="R18" s="100"/>
    </row>
    <row r="19" spans="1:18" s="52" customFormat="1" x14ac:dyDescent="0.25">
      <c r="A19" s="1"/>
      <c r="B19" s="1" t="s">
        <v>39</v>
      </c>
      <c r="C19" s="11">
        <f>'Raw IS'!L7</f>
        <v>15140</v>
      </c>
      <c r="D19" s="11">
        <f>'Raw IS'!M7</f>
        <v>15723</v>
      </c>
      <c r="E19" s="11">
        <f>'Raw IS'!N7</f>
        <v>16233</v>
      </c>
      <c r="F19" s="11">
        <f>'Raw IS'!D9</f>
        <v>18615</v>
      </c>
      <c r="G19" s="11">
        <f>'Raw IS'!E9</f>
        <v>19752</v>
      </c>
      <c r="H19" s="11">
        <f>'Raw IS'!F9</f>
        <v>20658</v>
      </c>
      <c r="I19" s="20">
        <f>I20*I11</f>
        <v>20031.326479494059</v>
      </c>
      <c r="J19" s="100">
        <f t="shared" ref="J19:R19" si="6">J20*J11</f>
        <v>20179.530238156211</v>
      </c>
      <c r="K19" s="100">
        <f t="shared" si="6"/>
        <v>20313.975641025638</v>
      </c>
      <c r="L19" s="100">
        <f t="shared" si="6"/>
        <v>21310.33953178969</v>
      </c>
      <c r="M19" s="100">
        <f t="shared" si="6"/>
        <v>22132.898065114496</v>
      </c>
      <c r="N19" s="100">
        <f t="shared" si="6"/>
        <v>22702.99619483178</v>
      </c>
      <c r="O19" s="100">
        <f t="shared" si="6"/>
        <v>22719.900402967891</v>
      </c>
      <c r="P19" s="100">
        <f t="shared" si="6"/>
        <v>23232.506808238453</v>
      </c>
      <c r="Q19" s="100">
        <f t="shared" si="6"/>
        <v>23778.150360752203</v>
      </c>
      <c r="R19" s="100">
        <f t="shared" si="6"/>
        <v>24403.843617756167</v>
      </c>
    </row>
    <row r="20" spans="1:18" s="52" customFormat="1" x14ac:dyDescent="0.25">
      <c r="A20" s="1"/>
      <c r="B20" s="78" t="s">
        <v>16</v>
      </c>
      <c r="C20" s="79">
        <f t="shared" ref="C20:R20" si="7">C19/C11</f>
        <v>0.20821299887229419</v>
      </c>
      <c r="D20" s="79">
        <f t="shared" si="7"/>
        <v>0.20864960985190298</v>
      </c>
      <c r="E20" s="79">
        <f t="shared" si="7"/>
        <v>0.20781698074559607</v>
      </c>
      <c r="F20" s="79">
        <f t="shared" si="7"/>
        <v>0.19896110558886715</v>
      </c>
      <c r="G20" s="79">
        <f t="shared" si="7"/>
        <v>0.18633083345125229</v>
      </c>
      <c r="H20" s="79">
        <f t="shared" si="7"/>
        <v>0.18931451612903225</v>
      </c>
      <c r="I20" s="80">
        <v>0.18694658403634212</v>
      </c>
      <c r="J20" s="81">
        <v>0.18634712566401526</v>
      </c>
      <c r="K20" s="81">
        <v>0.18097082976414824</v>
      </c>
      <c r="L20" s="81">
        <v>0.18328321606424436</v>
      </c>
      <c r="M20" s="81">
        <v>0.18269003768150635</v>
      </c>
      <c r="N20" s="81">
        <v>0.17991121479381711</v>
      </c>
      <c r="O20" s="81">
        <v>0.18410096753073407</v>
      </c>
      <c r="P20" s="81">
        <v>0.18294752979162496</v>
      </c>
      <c r="Q20" s="81">
        <v>0.18197099839865466</v>
      </c>
      <c r="R20" s="81">
        <v>0.1814951927543966</v>
      </c>
    </row>
    <row r="21" spans="1:18" s="52" customFormat="1" x14ac:dyDescent="0.25">
      <c r="A21" s="1"/>
      <c r="B21" s="1"/>
      <c r="C21" s="11"/>
      <c r="D21" s="11"/>
      <c r="E21" s="11"/>
      <c r="F21" s="11"/>
      <c r="G21" s="11"/>
      <c r="H21" s="11"/>
      <c r="I21" s="38"/>
      <c r="J21" s="103"/>
      <c r="K21" s="103"/>
      <c r="L21" s="103"/>
      <c r="M21" s="103"/>
      <c r="N21" s="103"/>
      <c r="O21" s="103"/>
      <c r="P21" s="103"/>
      <c r="Q21" s="103"/>
      <c r="R21" s="103"/>
    </row>
    <row r="22" spans="1:18" s="52" customFormat="1" x14ac:dyDescent="0.25">
      <c r="A22" s="1"/>
      <c r="B22" s="1" t="s">
        <v>20</v>
      </c>
      <c r="C22" s="11">
        <f>'Raw IS'!L8</f>
        <v>2225</v>
      </c>
      <c r="D22" s="11">
        <f>'Raw IS'!M8</f>
        <v>2224</v>
      </c>
      <c r="E22" s="11">
        <f>'Raw IS'!N8</f>
        <v>2357</v>
      </c>
      <c r="F22" s="11">
        <f>'Raw IS'!D10</f>
        <v>2230</v>
      </c>
      <c r="G22" s="11">
        <f>'Raw IS'!E10</f>
        <v>2344</v>
      </c>
      <c r="H22" s="11">
        <f>'Raw IS'!F10</f>
        <v>2385</v>
      </c>
      <c r="I22" s="38">
        <f>I23*I11</f>
        <v>2490</v>
      </c>
      <c r="J22" s="103">
        <f t="shared" ref="J22:R22" si="8">J23*J11</f>
        <v>2550</v>
      </c>
      <c r="K22" s="103">
        <f t="shared" si="8"/>
        <v>2720</v>
      </c>
      <c r="L22" s="103">
        <f t="shared" si="8"/>
        <v>2630</v>
      </c>
      <c r="M22" s="103">
        <f t="shared" si="8"/>
        <v>2710</v>
      </c>
      <c r="N22" s="103">
        <f t="shared" si="8"/>
        <v>2770</v>
      </c>
      <c r="O22" s="103">
        <f t="shared" si="8"/>
        <v>3070</v>
      </c>
      <c r="P22" s="103">
        <f t="shared" si="8"/>
        <v>3150</v>
      </c>
      <c r="Q22" s="103">
        <f t="shared" si="8"/>
        <v>3230</v>
      </c>
      <c r="R22" s="103">
        <f t="shared" si="8"/>
        <v>3361.5</v>
      </c>
    </row>
    <row r="23" spans="1:18" s="52" customFormat="1" x14ac:dyDescent="0.25">
      <c r="A23" s="1"/>
      <c r="B23" s="13" t="s">
        <v>16</v>
      </c>
      <c r="C23" s="14">
        <f>C22/C11</f>
        <v>3.0599334378524079E-2</v>
      </c>
      <c r="D23" s="14">
        <f t="shared" ref="D23:H23" si="9">D22/D11</f>
        <v>2.9513243802749615E-2</v>
      </c>
      <c r="E23" s="14">
        <f t="shared" si="9"/>
        <v>3.0174621056943875E-2</v>
      </c>
      <c r="F23" s="14">
        <f t="shared" si="9"/>
        <v>2.38347174570601E-2</v>
      </c>
      <c r="G23" s="14">
        <f t="shared" si="9"/>
        <v>2.2112164520541485E-2</v>
      </c>
      <c r="H23" s="14">
        <f t="shared" si="9"/>
        <v>2.1856671554252201E-2</v>
      </c>
      <c r="I23" s="19">
        <v>2.3238450769948672E-2</v>
      </c>
      <c r="J23" s="74">
        <v>2.3547880690737835E-2</v>
      </c>
      <c r="K23" s="74">
        <v>2.4231625835189313E-2</v>
      </c>
      <c r="L23" s="74">
        <v>2.2619764341618647E-2</v>
      </c>
      <c r="M23" s="74">
        <v>2.2368964094098224E-2</v>
      </c>
      <c r="N23" s="74">
        <v>2.1951026230287662E-2</v>
      </c>
      <c r="O23" s="74">
        <v>2.4876428166275017E-2</v>
      </c>
      <c r="P23" s="74">
        <v>2.4805102763997167E-2</v>
      </c>
      <c r="Q23" s="74">
        <v>2.4718757174561873E-2</v>
      </c>
      <c r="R23" s="74">
        <v>2.5000000000000001E-2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103"/>
      <c r="K24" s="103"/>
      <c r="L24" s="103"/>
      <c r="M24" s="103"/>
      <c r="N24" s="103"/>
      <c r="O24" s="103"/>
      <c r="P24" s="103"/>
      <c r="Q24" s="103"/>
      <c r="R24" s="103"/>
    </row>
    <row r="25" spans="1:18" s="52" customFormat="1" x14ac:dyDescent="0.25">
      <c r="A25" s="1"/>
      <c r="B25" s="1" t="s">
        <v>12</v>
      </c>
      <c r="C25" s="11">
        <f>C19+C22</f>
        <v>17365</v>
      </c>
      <c r="D25" s="11">
        <f t="shared" ref="D25:R25" si="10">D19+D22</f>
        <v>17947</v>
      </c>
      <c r="E25" s="11">
        <f t="shared" si="10"/>
        <v>18590</v>
      </c>
      <c r="F25" s="11">
        <f t="shared" si="10"/>
        <v>20845</v>
      </c>
      <c r="G25" s="11">
        <f t="shared" si="10"/>
        <v>22096</v>
      </c>
      <c r="H25" s="11">
        <f>H19+H22</f>
        <v>23043</v>
      </c>
      <c r="I25" s="38">
        <f t="shared" ref="I25:R25" si="11">I19+I22</f>
        <v>22521.326479494059</v>
      </c>
      <c r="J25" s="103">
        <f t="shared" si="11"/>
        <v>22729.530238156211</v>
      </c>
      <c r="K25" s="103">
        <f t="shared" si="11"/>
        <v>23033.975641025638</v>
      </c>
      <c r="L25" s="103">
        <f t="shared" si="11"/>
        <v>23940.33953178969</v>
      </c>
      <c r="M25" s="103">
        <f t="shared" si="11"/>
        <v>24842.898065114496</v>
      </c>
      <c r="N25" s="103">
        <f t="shared" si="11"/>
        <v>25472.99619483178</v>
      </c>
      <c r="O25" s="103">
        <f t="shared" si="11"/>
        <v>25789.900402967891</v>
      </c>
      <c r="P25" s="103">
        <f t="shared" si="11"/>
        <v>26382.506808238453</v>
      </c>
      <c r="Q25" s="103">
        <f t="shared" si="11"/>
        <v>27008.150360752203</v>
      </c>
      <c r="R25" s="103">
        <f t="shared" si="11"/>
        <v>27765.343617756167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99"/>
      <c r="J26" s="105"/>
      <c r="K26" s="105"/>
      <c r="L26" s="105"/>
      <c r="M26" s="105"/>
      <c r="N26" s="105"/>
      <c r="O26" s="105"/>
      <c r="P26" s="105"/>
      <c r="Q26" s="105"/>
      <c r="R26" s="105"/>
    </row>
    <row r="27" spans="1:18" s="52" customFormat="1" x14ac:dyDescent="0.25">
      <c r="A27" s="1"/>
      <c r="B27" s="1" t="s">
        <v>13</v>
      </c>
      <c r="C27" s="11">
        <f>C16-C25</f>
        <v>4224</v>
      </c>
      <c r="D27" s="11">
        <f t="shared" ref="D27:R27" si="12">D16-D25</f>
        <v>4110</v>
      </c>
      <c r="E27" s="11">
        <f t="shared" si="12"/>
        <v>4658</v>
      </c>
      <c r="F27" s="11">
        <f t="shared" si="12"/>
        <v>6539</v>
      </c>
      <c r="G27" s="11">
        <f t="shared" si="12"/>
        <v>8946</v>
      </c>
      <c r="H27" s="11">
        <f t="shared" si="12"/>
        <v>3848</v>
      </c>
      <c r="I27" s="38">
        <f t="shared" si="12"/>
        <v>5455.5385205059429</v>
      </c>
      <c r="J27" s="103">
        <f t="shared" si="12"/>
        <v>6335.5057618437895</v>
      </c>
      <c r="K27" s="103">
        <f t="shared" si="12"/>
        <v>7071.4743589743593</v>
      </c>
      <c r="L27" s="103">
        <f t="shared" si="12"/>
        <v>7220.0204682103104</v>
      </c>
      <c r="M27" s="103">
        <f t="shared" si="12"/>
        <v>7685.8769348855058</v>
      </c>
      <c r="N27" s="103">
        <f t="shared" si="12"/>
        <v>8409.0188051682198</v>
      </c>
      <c r="O27" s="103">
        <f t="shared" si="12"/>
        <v>9381.9495970321077</v>
      </c>
      <c r="P27" s="103">
        <f t="shared" si="12"/>
        <v>9682.653191761543</v>
      </c>
      <c r="Q27" s="103">
        <f t="shared" si="12"/>
        <v>9971.4596392477906</v>
      </c>
      <c r="R27" s="103">
        <f t="shared" si="12"/>
        <v>10286.836382243826</v>
      </c>
    </row>
    <row r="28" spans="1:18" s="52" customFormat="1" x14ac:dyDescent="0.25">
      <c r="A28" s="1"/>
      <c r="B28" s="1" t="s">
        <v>59</v>
      </c>
      <c r="C28" s="98">
        <f>-'Raw IS'!L11-'Raw IS'!L10</f>
        <v>-594</v>
      </c>
      <c r="D28" s="98">
        <f>-'Raw IS'!M11-'Raw IS'!M10</f>
        <v>-434</v>
      </c>
      <c r="E28" s="98">
        <f>-'Raw IS'!N11-'Raw IS'!N10</f>
        <v>-468</v>
      </c>
      <c r="F28" s="98">
        <f>-'Raw IS'!D13-'Raw IS'!D12</f>
        <v>-993</v>
      </c>
      <c r="G28" s="98">
        <f>-'Raw IS'!E13-'Raw IS'!E12</f>
        <v>-39</v>
      </c>
      <c r="H28" s="98">
        <f>-'Raw IS'!F13-'Raw IS'!F12</f>
        <v>-430</v>
      </c>
      <c r="I28" s="20">
        <f t="shared" ref="I28:R28" si="13">I29*I11</f>
        <v>-750.05000000000007</v>
      </c>
      <c r="J28" s="100">
        <f t="shared" si="13"/>
        <v>-758.02999999999986</v>
      </c>
      <c r="K28" s="100">
        <f t="shared" si="13"/>
        <v>-785.74999999999989</v>
      </c>
      <c r="L28" s="100">
        <f t="shared" si="13"/>
        <v>-813.89</v>
      </c>
      <c r="M28" s="100">
        <f t="shared" si="13"/>
        <v>-848.05000000000007</v>
      </c>
      <c r="N28" s="100">
        <f t="shared" si="13"/>
        <v>-883.33</v>
      </c>
      <c r="O28" s="100">
        <f t="shared" si="13"/>
        <v>-863.87</v>
      </c>
      <c r="P28" s="100">
        <f t="shared" si="13"/>
        <v>-888.93000000000006</v>
      </c>
      <c r="Q28" s="100">
        <f t="shared" si="13"/>
        <v>-914.69</v>
      </c>
      <c r="R28" s="100">
        <f t="shared" si="13"/>
        <v>-941.22</v>
      </c>
    </row>
    <row r="29" spans="1:18" s="52" customFormat="1" x14ac:dyDescent="0.25">
      <c r="A29" s="1"/>
      <c r="B29" s="78" t="s">
        <v>16</v>
      </c>
      <c r="C29" s="79">
        <f t="shared" ref="C29:H29" si="14">C28/C11</f>
        <v>-8.1689908408284512E-3</v>
      </c>
      <c r="D29" s="79">
        <f t="shared" si="14"/>
        <v>-5.7593290514358509E-3</v>
      </c>
      <c r="E29" s="79">
        <f t="shared" si="14"/>
        <v>-5.9913969684555514E-3</v>
      </c>
      <c r="F29" s="79">
        <f t="shared" si="14"/>
        <v>-1.0613396607560843E-2</v>
      </c>
      <c r="G29" s="79">
        <f t="shared" si="14"/>
        <v>-3.6790717418989672E-4</v>
      </c>
      <c r="H29" s="79">
        <f t="shared" si="14"/>
        <v>-3.9406158357771261E-3</v>
      </c>
      <c r="I29" s="83">
        <v>-7.0000000000000001E-3</v>
      </c>
      <c r="J29" s="104">
        <v>-7.0000000000000001E-3</v>
      </c>
      <c r="K29" s="104">
        <v>-7.0000000000000001E-3</v>
      </c>
      <c r="L29" s="104">
        <v>-7.0000000000000001E-3</v>
      </c>
      <c r="M29" s="104">
        <v>-7.0000000000000001E-3</v>
      </c>
      <c r="N29" s="104">
        <v>-7.0000000000000001E-3</v>
      </c>
      <c r="O29" s="104">
        <v>-7.0000000000000001E-3</v>
      </c>
      <c r="P29" s="104">
        <v>-7.0000000000000001E-3</v>
      </c>
      <c r="Q29" s="104">
        <v>-7.0000000000000001E-3</v>
      </c>
      <c r="R29" s="104">
        <v>-7.0000000000000001E-3</v>
      </c>
    </row>
    <row r="30" spans="1:18" s="52" customFormat="1" x14ac:dyDescent="0.25">
      <c r="A30" s="1"/>
      <c r="B30" s="1"/>
      <c r="C30" s="72"/>
      <c r="D30" s="72"/>
      <c r="E30" s="72"/>
      <c r="F30" s="72"/>
      <c r="G30" s="72"/>
      <c r="H30" s="72"/>
      <c r="I30" s="12"/>
      <c r="J30" s="101"/>
      <c r="K30" s="101"/>
      <c r="L30" s="101"/>
      <c r="M30" s="101"/>
      <c r="N30" s="101"/>
      <c r="O30" s="101"/>
      <c r="P30" s="101"/>
      <c r="Q30" s="101"/>
      <c r="R30" s="101"/>
    </row>
    <row r="31" spans="1:18" s="52" customFormat="1" x14ac:dyDescent="0.25">
      <c r="A31" s="1"/>
      <c r="B31" s="1" t="s">
        <v>14</v>
      </c>
      <c r="C31" s="11">
        <f>C27+C28</f>
        <v>3630</v>
      </c>
      <c r="D31" s="11">
        <f t="shared" ref="D31:R31" si="15">D27+D28</f>
        <v>3676</v>
      </c>
      <c r="E31" s="11">
        <f t="shared" si="15"/>
        <v>4190</v>
      </c>
      <c r="F31" s="11">
        <f t="shared" si="15"/>
        <v>5546</v>
      </c>
      <c r="G31" s="11">
        <f t="shared" si="15"/>
        <v>8907</v>
      </c>
      <c r="H31" s="11">
        <f t="shared" si="15"/>
        <v>3418</v>
      </c>
      <c r="I31" s="38">
        <f>I27+I28</f>
        <v>4705.4885205059427</v>
      </c>
      <c r="J31" s="103">
        <f t="shared" si="15"/>
        <v>5577.4757618437898</v>
      </c>
      <c r="K31" s="103">
        <f t="shared" si="15"/>
        <v>6285.7243589743593</v>
      </c>
      <c r="L31" s="103">
        <f t="shared" si="15"/>
        <v>6406.13046821031</v>
      </c>
      <c r="M31" s="103">
        <f t="shared" si="15"/>
        <v>6837.8269348855056</v>
      </c>
      <c r="N31" s="103">
        <f t="shared" si="15"/>
        <v>7525.6888051682199</v>
      </c>
      <c r="O31" s="103">
        <f t="shared" si="15"/>
        <v>8518.0795970321069</v>
      </c>
      <c r="P31" s="103">
        <f t="shared" si="15"/>
        <v>8793.7231917615427</v>
      </c>
      <c r="Q31" s="103">
        <f t="shared" si="15"/>
        <v>9056.7696392477901</v>
      </c>
      <c r="R31" s="103">
        <f t="shared" si="15"/>
        <v>9345.6163822438266</v>
      </c>
    </row>
    <row r="32" spans="1:18" s="52" customFormat="1" x14ac:dyDescent="0.25">
      <c r="A32" s="1"/>
      <c r="B32" s="1"/>
      <c r="C32" s="21"/>
      <c r="D32" s="21"/>
      <c r="E32" s="21"/>
      <c r="F32" s="21"/>
      <c r="G32" s="21"/>
      <c r="H32" s="72"/>
      <c r="I32" s="12"/>
      <c r="J32" s="101"/>
      <c r="K32" s="101"/>
      <c r="L32" s="101"/>
      <c r="M32" s="101"/>
      <c r="N32" s="101"/>
      <c r="O32" s="101"/>
      <c r="P32" s="101"/>
      <c r="Q32" s="101"/>
      <c r="R32" s="101"/>
    </row>
    <row r="33" spans="1:86" s="52" customFormat="1" x14ac:dyDescent="0.25">
      <c r="A33" s="1"/>
      <c r="B33" s="1" t="s">
        <v>15</v>
      </c>
      <c r="C33" s="11">
        <f t="shared" ref="C33:S33" si="16">C27</f>
        <v>4224</v>
      </c>
      <c r="D33" s="11">
        <f t="shared" si="16"/>
        <v>4110</v>
      </c>
      <c r="E33" s="11">
        <f t="shared" si="16"/>
        <v>4658</v>
      </c>
      <c r="F33" s="11">
        <f t="shared" si="16"/>
        <v>6539</v>
      </c>
      <c r="G33" s="11">
        <f t="shared" si="16"/>
        <v>8946</v>
      </c>
      <c r="H33" s="11">
        <f t="shared" si="16"/>
        <v>3848</v>
      </c>
      <c r="I33" s="38">
        <f>I27</f>
        <v>5455.5385205059429</v>
      </c>
      <c r="J33" s="103">
        <f t="shared" si="16"/>
        <v>6335.5057618437895</v>
      </c>
      <c r="K33" s="103">
        <f t="shared" si="16"/>
        <v>7071.4743589743593</v>
      </c>
      <c r="L33" s="103">
        <f t="shared" si="16"/>
        <v>7220.0204682103104</v>
      </c>
      <c r="M33" s="103">
        <f t="shared" si="16"/>
        <v>7685.8769348855058</v>
      </c>
      <c r="N33" s="103">
        <f t="shared" si="16"/>
        <v>8409.0188051682198</v>
      </c>
      <c r="O33" s="103">
        <f t="shared" si="16"/>
        <v>9381.9495970321077</v>
      </c>
      <c r="P33" s="103">
        <f t="shared" si="16"/>
        <v>9682.653191761543</v>
      </c>
      <c r="Q33" s="103">
        <f t="shared" si="16"/>
        <v>9971.4596392477906</v>
      </c>
      <c r="R33" s="103">
        <f t="shared" si="16"/>
        <v>10286.836382243826</v>
      </c>
    </row>
    <row r="34" spans="1:86" s="52" customFormat="1" x14ac:dyDescent="0.25">
      <c r="A34" s="1"/>
      <c r="B34" s="78" t="s">
        <v>16</v>
      </c>
      <c r="C34" s="79">
        <f t="shared" ref="C34:R34" si="17">C33/C11</f>
        <v>5.8090601534780101E-2</v>
      </c>
      <c r="D34" s="79">
        <f t="shared" si="17"/>
        <v>5.4541111523966242E-2</v>
      </c>
      <c r="E34" s="79">
        <f t="shared" si="17"/>
        <v>5.9632322818516999E-2</v>
      </c>
      <c r="F34" s="79">
        <f t="shared" si="17"/>
        <v>6.989023204112825E-2</v>
      </c>
      <c r="G34" s="79">
        <f t="shared" si="17"/>
        <v>8.4392245648790151E-2</v>
      </c>
      <c r="H34" s="79">
        <f t="shared" si="17"/>
        <v>3.5263929618768328E-2</v>
      </c>
      <c r="I34" s="80">
        <f t="shared" si="17"/>
        <v>5.0914965193709222E-2</v>
      </c>
      <c r="J34" s="81">
        <f t="shared" si="17"/>
        <v>5.850499364524693E-2</v>
      </c>
      <c r="K34" s="81">
        <f t="shared" si="17"/>
        <v>6.299754440066245E-2</v>
      </c>
      <c r="L34" s="81">
        <f t="shared" si="17"/>
        <v>6.2097019594137014E-2</v>
      </c>
      <c r="M34" s="81">
        <f t="shared" si="17"/>
        <v>6.3440998224395431E-2</v>
      </c>
      <c r="N34" s="81">
        <f t="shared" si="17"/>
        <v>6.6637758975895231E-2</v>
      </c>
      <c r="O34" s="81">
        <f t="shared" si="17"/>
        <v>7.6022604302990904E-2</v>
      </c>
      <c r="P34" s="81">
        <f t="shared" si="17"/>
        <v>7.624736744437785E-2</v>
      </c>
      <c r="Q34" s="81">
        <f t="shared" si="17"/>
        <v>7.6310244426783427E-2</v>
      </c>
      <c r="R34" s="81">
        <f t="shared" si="17"/>
        <v>7.6504807245603351E-2</v>
      </c>
    </row>
    <row r="35" spans="1:86" s="52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1:86" s="52" customFormat="1" x14ac:dyDescent="0.25">
      <c r="A36" s="1"/>
      <c r="B36" s="1" t="s">
        <v>17</v>
      </c>
      <c r="C36" s="11">
        <f>'Raw IS'!L13</f>
        <v>722</v>
      </c>
      <c r="D36" s="11">
        <f>'Raw IS'!M13</f>
        <v>746</v>
      </c>
      <c r="E36" s="11">
        <f>'Raw IS'!N13</f>
        <v>921</v>
      </c>
      <c r="F36" s="11">
        <f>'Raw IS'!D15</f>
        <v>1178</v>
      </c>
      <c r="G36" s="11">
        <f>'Raw IS'!E15</f>
        <v>1961</v>
      </c>
      <c r="H36" s="11">
        <f>'Raw IS'!F15</f>
        <v>638</v>
      </c>
      <c r="I36" s="20">
        <f>I33*I37</f>
        <v>1185.4885205059413</v>
      </c>
      <c r="J36" s="100">
        <f t="shared" ref="J36:R36" si="18">J33*J37</f>
        <v>1387.47576184379</v>
      </c>
      <c r="K36" s="100">
        <f t="shared" si="18"/>
        <v>1555.7243589743591</v>
      </c>
      <c r="L36" s="100">
        <f t="shared" si="18"/>
        <v>1576.1304682103107</v>
      </c>
      <c r="M36" s="100">
        <f t="shared" si="18"/>
        <v>1677.8269348855058</v>
      </c>
      <c r="N36" s="100">
        <f t="shared" si="18"/>
        <v>1835.6888051682224</v>
      </c>
      <c r="O36" s="100">
        <f t="shared" si="18"/>
        <v>2048.0795970321092</v>
      </c>
      <c r="P36" s="100">
        <f t="shared" si="18"/>
        <v>2113.723191761545</v>
      </c>
      <c r="Q36" s="100">
        <f t="shared" si="18"/>
        <v>2176.7696392477928</v>
      </c>
      <c r="R36" s="100">
        <f t="shared" si="18"/>
        <v>2245.616382243827</v>
      </c>
    </row>
    <row r="37" spans="1:86" s="52" customFormat="1" x14ac:dyDescent="0.25">
      <c r="A37" s="1"/>
      <c r="B37" s="78" t="s">
        <v>18</v>
      </c>
      <c r="C37" s="82">
        <f>C36/C33</f>
        <v>0.1709280303030303</v>
      </c>
      <c r="D37" s="82">
        <f t="shared" ref="D37:H37" si="19">D36/D33</f>
        <v>0.18150851581508515</v>
      </c>
      <c r="E37" s="82">
        <f t="shared" si="19"/>
        <v>0.19772434521253757</v>
      </c>
      <c r="F37" s="82">
        <f t="shared" si="19"/>
        <v>0.18014987001070501</v>
      </c>
      <c r="G37" s="82">
        <f t="shared" si="19"/>
        <v>0.21920411357031075</v>
      </c>
      <c r="H37" s="82">
        <f t="shared" si="19"/>
        <v>0.1658004158004158</v>
      </c>
      <c r="I37" s="83">
        <v>0.21729999999999999</v>
      </c>
      <c r="J37" s="104">
        <v>0.219</v>
      </c>
      <c r="K37" s="104">
        <v>0.22</v>
      </c>
      <c r="L37" s="104">
        <v>0.21829999999999999</v>
      </c>
      <c r="M37" s="104">
        <v>0.21829999999999999</v>
      </c>
      <c r="N37" s="104">
        <v>0.21829999999999999</v>
      </c>
      <c r="O37" s="104">
        <v>0.21829999999999999</v>
      </c>
      <c r="P37" s="104">
        <v>0.21829999999999999</v>
      </c>
      <c r="Q37" s="104">
        <v>0.21829999999999999</v>
      </c>
      <c r="R37" s="104">
        <v>0.21829999999999999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01"/>
      <c r="K38" s="101"/>
      <c r="L38" s="101"/>
      <c r="M38" s="101"/>
      <c r="N38" s="101"/>
      <c r="O38" s="101"/>
      <c r="P38" s="101"/>
      <c r="Q38" s="101"/>
      <c r="R38" s="101"/>
    </row>
    <row r="39" spans="1:86" s="52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5">
        <v>2023</v>
      </c>
      <c r="J39" s="106">
        <v>2024</v>
      </c>
      <c r="K39" s="106">
        <v>2025</v>
      </c>
      <c r="L39" s="106">
        <v>2026</v>
      </c>
      <c r="M39" s="106">
        <v>2027</v>
      </c>
      <c r="N39" s="106">
        <v>2028</v>
      </c>
      <c r="O39" s="106">
        <v>2029</v>
      </c>
      <c r="P39" s="106">
        <v>2030</v>
      </c>
      <c r="Q39" s="106">
        <v>2031</v>
      </c>
      <c r="R39" s="106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>
        <f>C22</f>
        <v>2225</v>
      </c>
      <c r="D40" s="11">
        <f t="shared" ref="D40:H40" si="20">D22</f>
        <v>2224</v>
      </c>
      <c r="E40" s="11">
        <f t="shared" si="20"/>
        <v>2357</v>
      </c>
      <c r="F40" s="11">
        <f t="shared" si="20"/>
        <v>2230</v>
      </c>
      <c r="G40" s="11">
        <f t="shared" si="20"/>
        <v>2344</v>
      </c>
      <c r="H40" s="11">
        <f t="shared" si="20"/>
        <v>2385</v>
      </c>
      <c r="I40" s="20">
        <f>I22</f>
        <v>2490</v>
      </c>
      <c r="J40" s="100">
        <f t="shared" ref="J40:R40" si="21">J22</f>
        <v>2550</v>
      </c>
      <c r="K40" s="100">
        <f t="shared" si="21"/>
        <v>2720</v>
      </c>
      <c r="L40" s="100">
        <f t="shared" si="21"/>
        <v>2630</v>
      </c>
      <c r="M40" s="100">
        <f t="shared" si="21"/>
        <v>2710</v>
      </c>
      <c r="N40" s="100">
        <f t="shared" si="21"/>
        <v>2770</v>
      </c>
      <c r="O40" s="100">
        <f t="shared" si="21"/>
        <v>3070</v>
      </c>
      <c r="P40" s="100">
        <f t="shared" si="21"/>
        <v>3150</v>
      </c>
      <c r="Q40" s="100">
        <f t="shared" si="21"/>
        <v>3230</v>
      </c>
      <c r="R40" s="100">
        <f t="shared" si="21"/>
        <v>3361.5</v>
      </c>
    </row>
    <row r="41" spans="1:86" s="52" customFormat="1" x14ac:dyDescent="0.25">
      <c r="A41" s="1"/>
      <c r="B41" s="78" t="s">
        <v>16</v>
      </c>
      <c r="C41" s="79">
        <f t="shared" ref="C41:H41" si="22">C40/C11</f>
        <v>3.0599334378524079E-2</v>
      </c>
      <c r="D41" s="79">
        <f t="shared" si="22"/>
        <v>2.9513243802749615E-2</v>
      </c>
      <c r="E41" s="79">
        <f t="shared" si="22"/>
        <v>3.0174621056943875E-2</v>
      </c>
      <c r="F41" s="79">
        <f t="shared" si="22"/>
        <v>2.38347174570601E-2</v>
      </c>
      <c r="G41" s="79">
        <f t="shared" si="22"/>
        <v>2.2112164520541485E-2</v>
      </c>
      <c r="H41" s="79">
        <f t="shared" si="22"/>
        <v>2.1856671554252201E-2</v>
      </c>
      <c r="I41" s="80">
        <f>I40/I11</f>
        <v>2.3238450769948672E-2</v>
      </c>
      <c r="J41" s="81">
        <f t="shared" ref="J41" si="23">J40/J11</f>
        <v>2.3547880690737835E-2</v>
      </c>
      <c r="K41" s="81">
        <f t="shared" ref="K41" si="24">K40/K11</f>
        <v>2.4231625835189313E-2</v>
      </c>
      <c r="L41" s="81">
        <f t="shared" ref="L41" si="25">L40/L11</f>
        <v>2.2619764341618647E-2</v>
      </c>
      <c r="M41" s="81">
        <f t="shared" ref="M41" si="26">M40/M11</f>
        <v>2.2368964094098224E-2</v>
      </c>
      <c r="N41" s="81">
        <f t="shared" ref="N41" si="27">N40/N11</f>
        <v>2.1951026230287662E-2</v>
      </c>
      <c r="O41" s="81">
        <f t="shared" ref="O41" si="28">O40/O11</f>
        <v>2.4876428166275017E-2</v>
      </c>
      <c r="P41" s="81">
        <f t="shared" ref="P41" si="29">P40/P11</f>
        <v>2.4805102763997167E-2</v>
      </c>
      <c r="Q41" s="81">
        <f t="shared" ref="Q41" si="30">Q40/Q11</f>
        <v>2.4718757174561873E-2</v>
      </c>
      <c r="R41" s="81">
        <f t="shared" ref="R41" si="31">R40/R11</f>
        <v>2.5000000000000001E-2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01"/>
      <c r="K42" s="101"/>
      <c r="L42" s="101"/>
      <c r="M42" s="101"/>
      <c r="N42" s="101"/>
      <c r="O42" s="101"/>
      <c r="P42" s="101"/>
      <c r="Q42" s="101"/>
      <c r="R42" s="101"/>
    </row>
    <row r="43" spans="1:86" s="52" customFormat="1" x14ac:dyDescent="0.25">
      <c r="A43" s="1"/>
      <c r="B43" s="1" t="s">
        <v>21</v>
      </c>
      <c r="C43" s="11">
        <f>'Raw CF'!K28</f>
        <v>-2533</v>
      </c>
      <c r="D43" s="11">
        <f>'Raw CF'!L28</f>
        <v>-3516</v>
      </c>
      <c r="E43" s="11">
        <f>'Raw CF'!M28</f>
        <v>-3027</v>
      </c>
      <c r="F43" s="37">
        <f>'Raw CF'!D28</f>
        <v>-2649</v>
      </c>
      <c r="G43" s="37">
        <f>'Raw CF'!E28</f>
        <v>-3544</v>
      </c>
      <c r="H43" s="37">
        <f>'Raw CF'!F28</f>
        <v>-5528</v>
      </c>
      <c r="I43" s="20">
        <f>I44*I11</f>
        <v>-4820</v>
      </c>
      <c r="J43" s="100">
        <f t="shared" ref="J43:R43" si="32">J44*J11</f>
        <v>-4540</v>
      </c>
      <c r="K43" s="100">
        <f t="shared" si="32"/>
        <v>-4220</v>
      </c>
      <c r="L43" s="100">
        <f t="shared" si="32"/>
        <v>-4310</v>
      </c>
      <c r="M43" s="100">
        <f t="shared" si="32"/>
        <v>-4420</v>
      </c>
      <c r="N43" s="100">
        <f t="shared" si="32"/>
        <v>-4380</v>
      </c>
      <c r="O43" s="100">
        <f t="shared" si="32"/>
        <v>-4320</v>
      </c>
      <c r="P43" s="100">
        <f t="shared" si="32"/>
        <v>-4130</v>
      </c>
      <c r="Q43" s="100">
        <f t="shared" si="32"/>
        <v>-4250</v>
      </c>
      <c r="R43" s="100">
        <f t="shared" si="32"/>
        <v>-4270</v>
      </c>
    </row>
    <row r="44" spans="1:86" s="52" customFormat="1" x14ac:dyDescent="0.25">
      <c r="A44" s="1"/>
      <c r="B44" s="78" t="s">
        <v>16</v>
      </c>
      <c r="C44" s="79">
        <f t="shared" ref="C44:H44" si="33">C43/C11</f>
        <v>-3.4835107407101794E-2</v>
      </c>
      <c r="D44" s="79">
        <f t="shared" si="33"/>
        <v>-4.665852752269229E-2</v>
      </c>
      <c r="E44" s="79">
        <f t="shared" si="33"/>
        <v>-3.875204834084392E-2</v>
      </c>
      <c r="F44" s="79">
        <f t="shared" si="33"/>
        <v>-2.8313079167601885E-2</v>
      </c>
      <c r="G44" s="79">
        <f t="shared" si="33"/>
        <v>-3.3432385264846001E-2</v>
      </c>
      <c r="H44" s="79">
        <f t="shared" si="33"/>
        <v>-5.0659824046920821E-2</v>
      </c>
      <c r="I44" s="80">
        <v>-4.4983667755482966E-2</v>
      </c>
      <c r="J44" s="81">
        <v>-4.1924462092529327E-2</v>
      </c>
      <c r="K44" s="81">
        <v>-3.759465478841871E-2</v>
      </c>
      <c r="L44" s="81">
        <v>-3.7068891373527132E-2</v>
      </c>
      <c r="M44" s="81">
        <v>-3.6483697895171273E-2</v>
      </c>
      <c r="N44" s="81">
        <v>-3.4709564941754499E-2</v>
      </c>
      <c r="O44" s="81">
        <v>-3.500526699619156E-2</v>
      </c>
      <c r="P44" s="81">
        <v>-3.2522245846129616E-2</v>
      </c>
      <c r="Q44" s="81">
        <v>-3.2524680492844571E-2</v>
      </c>
      <c r="R44" s="81">
        <v>-3.175665625464822E-2</v>
      </c>
    </row>
    <row r="45" spans="1:86" s="52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1"/>
      <c r="K45" s="101"/>
      <c r="L45" s="101"/>
      <c r="M45" s="101"/>
      <c r="N45" s="101"/>
      <c r="O45" s="101"/>
      <c r="P45" s="101"/>
      <c r="Q45" s="101"/>
      <c r="R45" s="101"/>
    </row>
    <row r="46" spans="1:86" s="52" customFormat="1" x14ac:dyDescent="0.25">
      <c r="A46" s="1"/>
      <c r="B46" s="1" t="s">
        <v>22</v>
      </c>
      <c r="C46" s="1">
        <f>SUM('Raw CF'!K18:K21)</f>
        <v>1222</v>
      </c>
      <c r="D46" s="1">
        <f>SUM('Raw CF'!L18:L21)</f>
        <v>17</v>
      </c>
      <c r="E46" s="1">
        <f>SUM('Raw CF'!M18:M21)</f>
        <v>862</v>
      </c>
      <c r="F46" s="73">
        <f>SUM('Raw CF'!D18:D21)</f>
        <v>3058</v>
      </c>
      <c r="G46" s="73">
        <f>SUM('Raw CF'!E18:E21)</f>
        <v>-1445</v>
      </c>
      <c r="H46" s="73">
        <f>SUM('Raw CF'!F18:F21)</f>
        <v>-2436</v>
      </c>
      <c r="I46" s="20">
        <f t="shared" ref="I46:R46" si="34">I47*I11</f>
        <v>-535.75</v>
      </c>
      <c r="J46" s="100">
        <f t="shared" si="34"/>
        <v>-541.44999999999993</v>
      </c>
      <c r="K46" s="100">
        <f t="shared" si="34"/>
        <v>-561.24999999999989</v>
      </c>
      <c r="L46" s="100">
        <f t="shared" si="34"/>
        <v>-581.35</v>
      </c>
      <c r="M46" s="100">
        <f t="shared" si="34"/>
        <v>-605.75</v>
      </c>
      <c r="N46" s="100">
        <f t="shared" si="34"/>
        <v>-630.95000000000005</v>
      </c>
      <c r="O46" s="100">
        <f t="shared" si="34"/>
        <v>-617.05000000000007</v>
      </c>
      <c r="P46" s="100">
        <f t="shared" si="34"/>
        <v>-634.95000000000005</v>
      </c>
      <c r="Q46" s="100">
        <f t="shared" si="34"/>
        <v>-653.35</v>
      </c>
      <c r="R46" s="100">
        <f t="shared" si="34"/>
        <v>-672.30000000000007</v>
      </c>
    </row>
    <row r="47" spans="1:86" s="52" customFormat="1" x14ac:dyDescent="0.25">
      <c r="A47" s="1"/>
      <c r="B47" s="78" t="s">
        <v>16</v>
      </c>
      <c r="C47" s="79">
        <f t="shared" ref="C47:H47" si="35">C46/C11</f>
        <v>1.6805567015980415E-2</v>
      </c>
      <c r="D47" s="79">
        <f t="shared" si="35"/>
        <v>2.2559583842029831E-4</v>
      </c>
      <c r="E47" s="79">
        <f t="shared" si="35"/>
        <v>1.1035436296599754E-2</v>
      </c>
      <c r="F47" s="79">
        <f t="shared" si="35"/>
        <v>3.2684558737080621E-2</v>
      </c>
      <c r="G47" s="79">
        <f t="shared" si="35"/>
        <v>-1.3631432479600018E-2</v>
      </c>
      <c r="H47" s="79">
        <f t="shared" si="35"/>
        <v>-2.2324046920821114E-2</v>
      </c>
      <c r="I47" s="83">
        <v>-5.0000000000000001E-3</v>
      </c>
      <c r="J47" s="104">
        <v>-5.0000000000000001E-3</v>
      </c>
      <c r="K47" s="104">
        <v>-5.0000000000000001E-3</v>
      </c>
      <c r="L47" s="104">
        <v>-5.0000000000000001E-3</v>
      </c>
      <c r="M47" s="104">
        <v>-5.0000000000000001E-3</v>
      </c>
      <c r="N47" s="104">
        <v>-5.0000000000000001E-3</v>
      </c>
      <c r="O47" s="104">
        <v>-5.0000000000000001E-3</v>
      </c>
      <c r="P47" s="104">
        <v>-5.0000000000000001E-3</v>
      </c>
      <c r="Q47" s="104">
        <v>-5.0000000000000001E-3</v>
      </c>
      <c r="R47" s="104">
        <v>-5.0000000000000001E-3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01"/>
      <c r="K48" s="101"/>
      <c r="L48" s="101"/>
      <c r="M48" s="101"/>
      <c r="N48" s="101"/>
      <c r="O48" s="101"/>
      <c r="P48" s="101"/>
      <c r="Q48" s="101"/>
      <c r="R48" s="101"/>
    </row>
    <row r="49" spans="1:86" s="52" customFormat="1" x14ac:dyDescent="0.25">
      <c r="A49" s="1"/>
      <c r="B49" s="9" t="s">
        <v>23</v>
      </c>
      <c r="C49" s="11">
        <f>C33-C36</f>
        <v>3502</v>
      </c>
      <c r="D49" s="11">
        <f t="shared" ref="D49:H49" si="36">D33-D36</f>
        <v>3364</v>
      </c>
      <c r="E49" s="11">
        <f t="shared" si="36"/>
        <v>3737</v>
      </c>
      <c r="F49" s="11">
        <f t="shared" si="36"/>
        <v>5361</v>
      </c>
      <c r="G49" s="11">
        <f t="shared" si="36"/>
        <v>6985</v>
      </c>
      <c r="H49" s="11">
        <f t="shared" si="36"/>
        <v>3210</v>
      </c>
      <c r="I49" s="38">
        <f t="shared" ref="I49" si="37">I33-I36</f>
        <v>4270.0500000000011</v>
      </c>
      <c r="J49" s="103">
        <f t="shared" ref="J49:R49" si="38">J33-J36</f>
        <v>4948.03</v>
      </c>
      <c r="K49" s="103">
        <f t="shared" si="38"/>
        <v>5515.75</v>
      </c>
      <c r="L49" s="103">
        <f t="shared" si="38"/>
        <v>5643.8899999999994</v>
      </c>
      <c r="M49" s="103">
        <f t="shared" si="38"/>
        <v>6008.05</v>
      </c>
      <c r="N49" s="103">
        <f t="shared" si="38"/>
        <v>6573.3299999999972</v>
      </c>
      <c r="O49" s="103">
        <f t="shared" si="38"/>
        <v>7333.869999999999</v>
      </c>
      <c r="P49" s="103">
        <f t="shared" si="38"/>
        <v>7568.9299999999985</v>
      </c>
      <c r="Q49" s="103">
        <f t="shared" si="38"/>
        <v>7794.6899999999978</v>
      </c>
      <c r="R49" s="103">
        <f t="shared" si="38"/>
        <v>8041.2199999999993</v>
      </c>
    </row>
    <row r="50" spans="1:86" s="52" customFormat="1" x14ac:dyDescent="0.25">
      <c r="A50" s="1"/>
      <c r="B50" s="9" t="s">
        <v>50</v>
      </c>
      <c r="C50" s="11">
        <v>6</v>
      </c>
      <c r="D50" s="11">
        <v>7</v>
      </c>
      <c r="E50" s="11">
        <v>12</v>
      </c>
      <c r="F50" s="11">
        <v>0</v>
      </c>
      <c r="G50" s="11">
        <v>0</v>
      </c>
      <c r="H50" s="11">
        <v>0</v>
      </c>
      <c r="I50" s="38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3">
        <v>0</v>
      </c>
      <c r="P50" s="103">
        <v>0</v>
      </c>
      <c r="Q50" s="103">
        <v>0</v>
      </c>
      <c r="R50" s="103">
        <v>0</v>
      </c>
    </row>
    <row r="51" spans="1:86" s="52" customFormat="1" x14ac:dyDescent="0.25">
      <c r="A51" s="1"/>
      <c r="B51" s="9" t="s">
        <v>24</v>
      </c>
      <c r="C51" s="11">
        <f>C31-C36+C50</f>
        <v>2914</v>
      </c>
      <c r="D51" s="11">
        <f t="shared" ref="D51:H51" si="39">D31-D36+D50</f>
        <v>2937</v>
      </c>
      <c r="E51" s="11">
        <f t="shared" si="39"/>
        <v>3281</v>
      </c>
      <c r="F51" s="11">
        <f t="shared" si="39"/>
        <v>4368</v>
      </c>
      <c r="G51" s="11">
        <f t="shared" si="39"/>
        <v>6946</v>
      </c>
      <c r="H51" s="11">
        <f t="shared" si="39"/>
        <v>2780</v>
      </c>
      <c r="I51" s="38">
        <f t="shared" ref="I51" si="40">I31-I36+I50</f>
        <v>3520.0000000000014</v>
      </c>
      <c r="J51" s="103">
        <f t="shared" ref="J51" si="41">J31-J36+J50</f>
        <v>4190</v>
      </c>
      <c r="K51" s="103">
        <f t="shared" ref="K51" si="42">K31-K36+K50</f>
        <v>4730</v>
      </c>
      <c r="L51" s="103">
        <f t="shared" ref="L51" si="43">L31-L36+L50</f>
        <v>4829.9999999999991</v>
      </c>
      <c r="M51" s="103">
        <f t="shared" ref="M51" si="44">M31-M36+M50</f>
        <v>5160</v>
      </c>
      <c r="N51" s="103">
        <f t="shared" ref="N51" si="45">N31-N36+N50</f>
        <v>5689.9999999999973</v>
      </c>
      <c r="O51" s="103">
        <f t="shared" ref="O51" si="46">O31-O36+O50</f>
        <v>6469.9999999999982</v>
      </c>
      <c r="P51" s="103">
        <f t="shared" ref="P51" si="47">P31-P36+P50</f>
        <v>6679.9999999999982</v>
      </c>
      <c r="Q51" s="103">
        <f t="shared" ref="Q51" si="48">Q31-Q36+Q50</f>
        <v>6879.9999999999973</v>
      </c>
      <c r="R51" s="103">
        <f t="shared" ref="R51" si="49">R31-R36+R50</f>
        <v>7100</v>
      </c>
      <c r="S51" s="53">
        <f>R51*(1+$E$6)</f>
        <v>7242</v>
      </c>
      <c r="T51" s="53">
        <f t="shared" ref="T51:CE51" si="50">S51*(1+$E$6)</f>
        <v>7386.84</v>
      </c>
      <c r="U51" s="53">
        <f t="shared" si="50"/>
        <v>7534.5768000000007</v>
      </c>
      <c r="V51" s="53">
        <f t="shared" si="50"/>
        <v>7685.268336000001</v>
      </c>
      <c r="W51" s="53">
        <f t="shared" si="50"/>
        <v>7838.9737027200008</v>
      </c>
      <c r="X51" s="53">
        <f t="shared" si="50"/>
        <v>7995.7531767744013</v>
      </c>
      <c r="Y51" s="53">
        <f t="shared" si="50"/>
        <v>8155.6682403098894</v>
      </c>
      <c r="Z51" s="53">
        <f t="shared" si="50"/>
        <v>8318.781605116088</v>
      </c>
      <c r="AA51" s="53">
        <f t="shared" si="50"/>
        <v>8485.1572372184091</v>
      </c>
      <c r="AB51" s="53">
        <f t="shared" si="50"/>
        <v>8654.860381962777</v>
      </c>
      <c r="AC51" s="53">
        <f t="shared" si="50"/>
        <v>8827.9575896020324</v>
      </c>
      <c r="AD51" s="53">
        <f t="shared" si="50"/>
        <v>9004.5167413940726</v>
      </c>
      <c r="AE51" s="53">
        <f t="shared" si="50"/>
        <v>9184.6070762219533</v>
      </c>
      <c r="AF51" s="53">
        <f t="shared" si="50"/>
        <v>9368.299217746393</v>
      </c>
      <c r="AG51" s="53">
        <f t="shared" si="50"/>
        <v>9555.6652021013215</v>
      </c>
      <c r="AH51" s="53">
        <f t="shared" si="50"/>
        <v>9746.7785061433478</v>
      </c>
      <c r="AI51" s="53">
        <f t="shared" si="50"/>
        <v>9941.7140762662148</v>
      </c>
      <c r="AJ51" s="53">
        <f t="shared" si="50"/>
        <v>10140.548357791538</v>
      </c>
      <c r="AK51" s="53">
        <f t="shared" si="50"/>
        <v>10343.359324947369</v>
      </c>
      <c r="AL51" s="53">
        <f t="shared" si="50"/>
        <v>10550.226511446317</v>
      </c>
      <c r="AM51" s="53">
        <f t="shared" si="50"/>
        <v>10761.231041675244</v>
      </c>
      <c r="AN51" s="53">
        <f t="shared" si="50"/>
        <v>10976.45566250875</v>
      </c>
      <c r="AO51" s="53">
        <f t="shared" si="50"/>
        <v>11195.984775758925</v>
      </c>
      <c r="AP51" s="53">
        <f t="shared" si="50"/>
        <v>11419.904471274103</v>
      </c>
      <c r="AQ51" s="53">
        <f t="shared" si="50"/>
        <v>11648.302560699585</v>
      </c>
      <c r="AR51" s="53">
        <f t="shared" si="50"/>
        <v>11881.268611913578</v>
      </c>
      <c r="AS51" s="53">
        <f t="shared" si="50"/>
        <v>12118.89398415185</v>
      </c>
      <c r="AT51" s="53">
        <f t="shared" si="50"/>
        <v>12361.271863834887</v>
      </c>
      <c r="AU51" s="53">
        <f t="shared" si="50"/>
        <v>12608.497301111585</v>
      </c>
      <c r="AV51" s="53">
        <f t="shared" si="50"/>
        <v>12860.667247133817</v>
      </c>
      <c r="AW51" s="53">
        <f t="shared" si="50"/>
        <v>13117.880592076493</v>
      </c>
      <c r="AX51" s="53">
        <f t="shared" si="50"/>
        <v>13380.238203918023</v>
      </c>
      <c r="AY51" s="53">
        <f t="shared" si="50"/>
        <v>13647.842967996383</v>
      </c>
      <c r="AZ51" s="53">
        <f t="shared" si="50"/>
        <v>13920.799827356312</v>
      </c>
      <c r="BA51" s="53">
        <f t="shared" si="50"/>
        <v>14199.215823903438</v>
      </c>
      <c r="BB51" s="53">
        <f t="shared" si="50"/>
        <v>14483.200140381507</v>
      </c>
      <c r="BC51" s="53">
        <f t="shared" si="50"/>
        <v>14772.864143189137</v>
      </c>
      <c r="BD51" s="53">
        <f t="shared" si="50"/>
        <v>15068.32142605292</v>
      </c>
      <c r="BE51" s="53">
        <f t="shared" si="50"/>
        <v>15369.687854573978</v>
      </c>
      <c r="BF51" s="53">
        <f t="shared" si="50"/>
        <v>15677.081611665459</v>
      </c>
      <c r="BG51" s="53">
        <f t="shared" si="50"/>
        <v>15990.623243898768</v>
      </c>
      <c r="BH51" s="53">
        <f t="shared" si="50"/>
        <v>16310.435708776744</v>
      </c>
      <c r="BI51" s="53">
        <f t="shared" si="50"/>
        <v>16636.644422952279</v>
      </c>
      <c r="BJ51" s="53">
        <f t="shared" si="50"/>
        <v>16969.377311411325</v>
      </c>
      <c r="BK51" s="53">
        <f t="shared" si="50"/>
        <v>17308.764857639551</v>
      </c>
      <c r="BL51" s="53">
        <f t="shared" si="50"/>
        <v>17654.940154792344</v>
      </c>
      <c r="BM51" s="53">
        <f t="shared" si="50"/>
        <v>18008.038957888191</v>
      </c>
      <c r="BN51" s="53">
        <f t="shared" si="50"/>
        <v>18368.199737045954</v>
      </c>
      <c r="BO51" s="53">
        <f t="shared" si="50"/>
        <v>18735.563731786875</v>
      </c>
      <c r="BP51" s="53">
        <f t="shared" si="50"/>
        <v>19110.275006422613</v>
      </c>
      <c r="BQ51" s="53">
        <f t="shared" si="50"/>
        <v>19492.480506551066</v>
      </c>
      <c r="BR51" s="53">
        <f t="shared" si="50"/>
        <v>19882.330116682089</v>
      </c>
      <c r="BS51" s="53">
        <f t="shared" si="50"/>
        <v>20279.976719015733</v>
      </c>
      <c r="BT51" s="53">
        <f t="shared" si="50"/>
        <v>20685.576253396048</v>
      </c>
      <c r="BU51" s="53">
        <f t="shared" si="50"/>
        <v>21099.287778463968</v>
      </c>
      <c r="BV51" s="53">
        <f t="shared" si="50"/>
        <v>21521.273534033247</v>
      </c>
      <c r="BW51" s="53">
        <f t="shared" si="50"/>
        <v>21951.699004713912</v>
      </c>
      <c r="BX51" s="53">
        <f t="shared" si="50"/>
        <v>22390.73298480819</v>
      </c>
      <c r="BY51" s="53">
        <f t="shared" si="50"/>
        <v>22838.547644504353</v>
      </c>
      <c r="BZ51" s="53">
        <f t="shared" si="50"/>
        <v>23295.318597394442</v>
      </c>
      <c r="CA51" s="53">
        <f t="shared" si="50"/>
        <v>23761.224969342333</v>
      </c>
      <c r="CB51" s="53">
        <f t="shared" si="50"/>
        <v>24236.449468729181</v>
      </c>
      <c r="CC51" s="53">
        <f t="shared" si="50"/>
        <v>24721.178458103765</v>
      </c>
      <c r="CD51" s="53">
        <f t="shared" si="50"/>
        <v>25215.602027265839</v>
      </c>
      <c r="CE51" s="53">
        <f t="shared" si="50"/>
        <v>25719.914067811154</v>
      </c>
      <c r="CF51" s="53">
        <f t="shared" ref="CF51:CH51" si="51">CE51*(1+$E$6)</f>
        <v>26234.31234916738</v>
      </c>
      <c r="CG51" s="53">
        <f t="shared" si="51"/>
        <v>26758.998596150726</v>
      </c>
      <c r="CH51" s="53">
        <f t="shared" si="51"/>
        <v>27294.178568073741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01"/>
      <c r="K52" s="101"/>
      <c r="L52" s="101"/>
      <c r="M52" s="101"/>
      <c r="N52" s="101"/>
      <c r="O52" s="101"/>
      <c r="P52" s="101"/>
      <c r="Q52" s="101"/>
      <c r="R52" s="101"/>
    </row>
    <row r="53" spans="1:86" s="52" customFormat="1" x14ac:dyDescent="0.25">
      <c r="A53" s="1"/>
      <c r="B53" s="9" t="s">
        <v>25</v>
      </c>
      <c r="C53" s="11">
        <f>C49+C40+C43-C46</f>
        <v>1972</v>
      </c>
      <c r="D53" s="11">
        <f>D49+D40+D43-D46</f>
        <v>2055</v>
      </c>
      <c r="E53" s="11">
        <f>E49+E40+E43-E46</f>
        <v>2205</v>
      </c>
      <c r="F53" s="11">
        <f>F49+F40+F43-F46</f>
        <v>1884</v>
      </c>
      <c r="G53" s="11">
        <f>G49+G40+G43-G46</f>
        <v>7230</v>
      </c>
      <c r="H53" s="11">
        <f>H49+H40+H43-H46</f>
        <v>2503</v>
      </c>
      <c r="I53" s="38">
        <f>I49+I40+I43-I46</f>
        <v>2475.8000000000011</v>
      </c>
      <c r="J53" s="103">
        <f>J49+J40+J43-J46</f>
        <v>3499.4799999999996</v>
      </c>
      <c r="K53" s="103">
        <f>K49+K40+K43-K46</f>
        <v>4577</v>
      </c>
      <c r="L53" s="103">
        <f>L49+L40+L43-L46</f>
        <v>4545.24</v>
      </c>
      <c r="M53" s="103">
        <f>M49+M40+M43-M46</f>
        <v>4903.7999999999993</v>
      </c>
      <c r="N53" s="103">
        <f>N49+N40+N43-N46</f>
        <v>5594.2799999999979</v>
      </c>
      <c r="O53" s="103">
        <f>O49+O40+O43-O46</f>
        <v>6700.9199999999992</v>
      </c>
      <c r="P53" s="103">
        <f>P49+P40+P43-P46</f>
        <v>7223.8799999999983</v>
      </c>
      <c r="Q53" s="103">
        <f>Q49+Q40+Q43-Q46</f>
        <v>7428.0399999999991</v>
      </c>
      <c r="R53" s="103">
        <f>R49+R40+R43-R46</f>
        <v>7805.0199999999995</v>
      </c>
    </row>
    <row r="54" spans="1:86" s="52" customFormat="1" x14ac:dyDescent="0.25">
      <c r="A54" s="1"/>
      <c r="B54" s="24" t="s">
        <v>26</v>
      </c>
      <c r="C54" s="1"/>
      <c r="D54" s="1"/>
      <c r="E54" s="1"/>
      <c r="F54" s="1"/>
      <c r="G54" s="1"/>
      <c r="H54" s="1"/>
      <c r="I54" s="75">
        <f>I53/((1+$E$5)^I9)</f>
        <v>2270.4177020770435</v>
      </c>
      <c r="J54" s="76">
        <f>J53/((1+$E$5)^J9)</f>
        <v>2942.9570711512238</v>
      </c>
      <c r="K54" s="76">
        <f>K53/((1+$E$5)^K9)</f>
        <v>3529.8116274696577</v>
      </c>
      <c r="L54" s="76">
        <f>L53/((1+$E$5)^L9)</f>
        <v>3214.5311795751891</v>
      </c>
      <c r="M54" s="76">
        <f>M53/((1+$E$5)^M9)</f>
        <v>3180.414886217573</v>
      </c>
      <c r="N54" s="76">
        <f>N53/((1+$E$5)^N9)</f>
        <v>3327.2499974215643</v>
      </c>
      <c r="O54" s="76">
        <f>O53/((1+$E$5)^O9)</f>
        <v>3654.8189885260504</v>
      </c>
      <c r="P54" s="76">
        <f>P53/((1+$E$5)^P9)</f>
        <v>3613.2013867183909</v>
      </c>
      <c r="Q54" s="76">
        <f>Q53/((1+$E$5)^Q9)</f>
        <v>3407.1094462058772</v>
      </c>
      <c r="R54" s="76">
        <f>R53/((1+$E$5)^R9)</f>
        <v>3283.0392638004291</v>
      </c>
    </row>
    <row r="55" spans="1:86" x14ac:dyDescent="0.25">
      <c r="A55" s="1"/>
      <c r="B55" s="25"/>
      <c r="C55" s="25"/>
      <c r="D55" s="25"/>
      <c r="E55" s="25"/>
      <c r="F55" s="25"/>
      <c r="G55" s="25"/>
      <c r="H55" s="25"/>
      <c r="I55" s="77"/>
      <c r="J55" s="1"/>
      <c r="K55" s="1"/>
      <c r="L55" s="1"/>
      <c r="M55" s="1"/>
      <c r="N55" s="1"/>
      <c r="O55" s="1"/>
      <c r="P55" s="1"/>
      <c r="Q55" s="1"/>
      <c r="R55" s="1"/>
    </row>
    <row r="56" spans="1:86" x14ac:dyDescent="0.25">
      <c r="A56" s="1"/>
      <c r="B56" s="1" t="s">
        <v>27</v>
      </c>
      <c r="C56" s="26">
        <f>(R53*(1+$E$6))/($E$5-$E$6)</f>
        <v>112987.5793893354</v>
      </c>
      <c r="D56" s="1"/>
      <c r="E56" s="1" t="s">
        <v>28</v>
      </c>
      <c r="F56" s="18">
        <f>NPV($E$5,I51:CH51)</f>
        <v>76331.141026653248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</row>
    <row r="57" spans="1:86" x14ac:dyDescent="0.25">
      <c r="A57" s="1"/>
      <c r="B57" s="3" t="s">
        <v>29</v>
      </c>
      <c r="C57" s="27">
        <f>C56/((1+$E$5)^$R$9)</f>
        <v>47526.163860817302</v>
      </c>
      <c r="D57" s="16"/>
      <c r="E57" s="3"/>
      <c r="F57" s="3"/>
      <c r="G57" s="3"/>
      <c r="H57" s="16"/>
      <c r="I57" s="12"/>
      <c r="J57" s="1"/>
      <c r="L57" s="85" t="s">
        <v>60</v>
      </c>
      <c r="M57" s="85"/>
      <c r="N57" s="85"/>
      <c r="O57" s="85"/>
      <c r="P57" s="85"/>
      <c r="Q57" s="85"/>
    </row>
    <row r="58" spans="1:86" x14ac:dyDescent="0.25">
      <c r="A58" s="1"/>
      <c r="B58" s="6" t="s">
        <v>30</v>
      </c>
      <c r="C58" s="6"/>
      <c r="D58" s="1"/>
      <c r="E58" s="6"/>
      <c r="F58" s="6"/>
      <c r="G58" s="28" t="s">
        <v>31</v>
      </c>
      <c r="H58" s="28" t="s">
        <v>28</v>
      </c>
      <c r="I58" s="15"/>
      <c r="J58" s="1"/>
      <c r="K58" s="54"/>
      <c r="L58" s="59">
        <f>E64</f>
        <v>157.50122970450104</v>
      </c>
      <c r="M58" s="84">
        <v>-0.01</v>
      </c>
      <c r="N58" s="84">
        <v>0.01</v>
      </c>
      <c r="O58" s="84">
        <v>0.02</v>
      </c>
      <c r="P58" s="84">
        <v>0.03</v>
      </c>
      <c r="Q58" s="84">
        <v>0.04</v>
      </c>
    </row>
    <row r="59" spans="1:86" x14ac:dyDescent="0.25">
      <c r="A59" s="1"/>
      <c r="B59" s="29" t="s">
        <v>32</v>
      </c>
      <c r="C59" s="1"/>
      <c r="D59" s="23">
        <v>1617</v>
      </c>
      <c r="E59" s="1"/>
      <c r="F59" s="1"/>
      <c r="G59" s="26">
        <f>C57+SUM(I54:R54)</f>
        <v>79949.715409980301</v>
      </c>
      <c r="H59" s="18">
        <f>F56</f>
        <v>76331.141026653248</v>
      </c>
      <c r="I59" s="15"/>
      <c r="K59" s="54"/>
      <c r="L59" s="56">
        <f>L60-1%</f>
        <v>7.1143272655842082E-2</v>
      </c>
      <c r="M59" s="60">
        <f t="dataTable" ref="M59:Q63" dt2D="1" dtr="1" r1="E6" r2="E5"/>
        <v>166.10946349908642</v>
      </c>
      <c r="N59" s="60">
        <v>200.21964600867008</v>
      </c>
      <c r="O59" s="60">
        <v>226.43790406010606</v>
      </c>
      <c r="P59" s="60">
        <v>263.79247386829536</v>
      </c>
      <c r="Q59" s="60">
        <v>321.05311712200597</v>
      </c>
    </row>
    <row r="60" spans="1:86" x14ac:dyDescent="0.25">
      <c r="A60" s="1"/>
      <c r="B60" s="30" t="s">
        <v>33</v>
      </c>
      <c r="C60" s="3"/>
      <c r="D60" s="39">
        <f>19332-12278</f>
        <v>7054</v>
      </c>
      <c r="E60" s="3"/>
      <c r="F60" s="3"/>
      <c r="G60" s="3"/>
      <c r="H60" s="3"/>
      <c r="I60" s="15"/>
      <c r="K60" s="55"/>
      <c r="L60" s="56">
        <f>L61-1%</f>
        <v>8.1143272655842077E-2</v>
      </c>
      <c r="M60" s="60">
        <v>143.48476053820653</v>
      </c>
      <c r="N60" s="61">
        <v>167.76678268752332</v>
      </c>
      <c r="O60" s="61">
        <v>185.52397377017087</v>
      </c>
      <c r="P60" s="61">
        <v>209.59841612510337</v>
      </c>
      <c r="Q60" s="60">
        <v>243.87853878937153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1">
        <f>G59+D59-D60</f>
        <v>74512.715409980301</v>
      </c>
      <c r="H61" s="32">
        <f>H59+D59-D60</f>
        <v>70894.141026653248</v>
      </c>
      <c r="I61" s="15"/>
      <c r="K61" s="54" t="s">
        <v>1</v>
      </c>
      <c r="L61" s="56">
        <v>9.1143272655842072E-2</v>
      </c>
      <c r="M61" s="60">
        <v>125.45693762815382</v>
      </c>
      <c r="N61" s="61">
        <v>143.23483113066789</v>
      </c>
      <c r="O61" s="62">
        <v>155.7292664336843</v>
      </c>
      <c r="P61" s="61">
        <v>172.05494809970008</v>
      </c>
      <c r="Q61" s="60">
        <v>194.17761872475486</v>
      </c>
    </row>
    <row r="62" spans="1:86" x14ac:dyDescent="0.25">
      <c r="A62" s="1"/>
      <c r="B62" s="3" t="s">
        <v>35</v>
      </c>
      <c r="C62" s="3"/>
      <c r="D62" s="37">
        <f>461605464/1000000</f>
        <v>461.60546399999998</v>
      </c>
      <c r="E62" s="3"/>
      <c r="F62" s="3"/>
      <c r="G62" s="3"/>
      <c r="H62" s="33"/>
      <c r="I62" s="15"/>
      <c r="K62" s="54"/>
      <c r="L62" s="57">
        <f>L61+1%</f>
        <v>0.10114327265584207</v>
      </c>
      <c r="M62" s="60">
        <v>110.7963883145618</v>
      </c>
      <c r="N62" s="61">
        <v>124.11633267258779</v>
      </c>
      <c r="O62" s="61">
        <v>133.17713167899575</v>
      </c>
      <c r="P62" s="61">
        <v>144.67726108056667</v>
      </c>
      <c r="Q62" s="60">
        <v>159.69795305905166</v>
      </c>
    </row>
    <row r="63" spans="1:86" x14ac:dyDescent="0.25">
      <c r="A63" s="1"/>
      <c r="B63" s="17" t="s">
        <v>36</v>
      </c>
      <c r="C63" s="17"/>
      <c r="D63" s="63">
        <f>D62*$J$5</f>
        <v>56966.730312239997</v>
      </c>
      <c r="E63" s="17"/>
      <c r="F63" s="17"/>
      <c r="G63" s="17"/>
      <c r="H63" s="34"/>
      <c r="I63" s="1"/>
      <c r="K63" s="54"/>
      <c r="L63" s="57">
        <f>L62+1%</f>
        <v>0.11114327265584206</v>
      </c>
      <c r="M63" s="60">
        <v>98.66949963687857</v>
      </c>
      <c r="N63" s="60">
        <v>108.84430372221233</v>
      </c>
      <c r="O63" s="60">
        <v>115.57919683284365</v>
      </c>
      <c r="P63" s="60">
        <v>123.92736791490867</v>
      </c>
      <c r="Q63" s="60">
        <v>134.52001680548381</v>
      </c>
    </row>
    <row r="64" spans="1:86" x14ac:dyDescent="0.25">
      <c r="A64" s="1"/>
      <c r="B64" s="6" t="s">
        <v>37</v>
      </c>
      <c r="D64" s="6" t="s">
        <v>38</v>
      </c>
      <c r="E64" s="35">
        <f>(G64+H64)/2</f>
        <v>157.50122970450104</v>
      </c>
      <c r="F64" s="6"/>
      <c r="G64" s="35">
        <f>G61/D62</f>
        <v>161.42078294372249</v>
      </c>
      <c r="H64" s="36">
        <f>H61/D62</f>
        <v>153.58167646527957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T48"/>
  <sheetViews>
    <sheetView workbookViewId="0">
      <selection activeCell="A12" sqref="A12"/>
    </sheetView>
  </sheetViews>
  <sheetFormatPr defaultRowHeight="15" x14ac:dyDescent="0.25"/>
  <cols>
    <col min="1" max="1" width="49.42578125" customWidth="1"/>
    <col min="5" max="5" width="9.7109375" customWidth="1"/>
    <col min="6" max="6" width="10.5703125" customWidth="1"/>
  </cols>
  <sheetData>
    <row r="1" spans="1:19" x14ac:dyDescent="0.25">
      <c r="A1" s="86" t="s">
        <v>61</v>
      </c>
      <c r="B1" s="86"/>
      <c r="C1" s="86"/>
      <c r="D1" s="86"/>
      <c r="E1" s="86"/>
      <c r="F1" s="86"/>
    </row>
    <row r="2" spans="1:19" x14ac:dyDescent="0.25">
      <c r="I2" s="92" t="s">
        <v>62</v>
      </c>
      <c r="J2" s="92"/>
      <c r="K2" s="92"/>
      <c r="L2" s="92" t="s">
        <v>117</v>
      </c>
      <c r="M2" s="92" t="s">
        <v>116</v>
      </c>
      <c r="N2" s="92" t="s">
        <v>115</v>
      </c>
      <c r="O2" s="92"/>
      <c r="Q2" s="92"/>
      <c r="S2" s="92"/>
    </row>
    <row r="3" spans="1:19" x14ac:dyDescent="0.25">
      <c r="I3" s="92" t="s">
        <v>66</v>
      </c>
      <c r="J3" s="92"/>
      <c r="K3" s="92"/>
      <c r="L3" s="95">
        <v>71786</v>
      </c>
      <c r="M3" s="95">
        <v>74433</v>
      </c>
      <c r="N3" s="95">
        <v>77130</v>
      </c>
      <c r="O3" s="95"/>
      <c r="Q3" s="95"/>
      <c r="S3" s="95"/>
    </row>
    <row r="4" spans="1:19" x14ac:dyDescent="0.25">
      <c r="A4" s="86" t="s">
        <v>62</v>
      </c>
      <c r="B4" s="86"/>
      <c r="C4" s="86"/>
      <c r="D4" s="86" t="s">
        <v>65</v>
      </c>
      <c r="E4" s="86" t="s">
        <v>64</v>
      </c>
      <c r="F4" s="86" t="s">
        <v>63</v>
      </c>
      <c r="G4" s="86"/>
      <c r="H4" s="86"/>
      <c r="I4" s="92" t="s">
        <v>67</v>
      </c>
      <c r="J4" s="92"/>
      <c r="K4" s="92"/>
      <c r="L4" s="96">
        <v>928</v>
      </c>
      <c r="M4" s="96">
        <v>923</v>
      </c>
      <c r="N4" s="96">
        <v>982</v>
      </c>
      <c r="O4" s="96"/>
      <c r="Q4" s="96"/>
      <c r="S4" s="96"/>
    </row>
    <row r="5" spans="1:19" x14ac:dyDescent="0.25">
      <c r="A5" s="86" t="s">
        <v>66</v>
      </c>
      <c r="B5" s="86"/>
      <c r="C5" s="86"/>
      <c r="D5" s="89">
        <v>92400</v>
      </c>
      <c r="E5" s="89">
        <v>104611</v>
      </c>
      <c r="F5" s="89">
        <v>107588</v>
      </c>
      <c r="G5" s="89"/>
      <c r="I5" s="86" t="s">
        <v>68</v>
      </c>
      <c r="J5" s="86"/>
      <c r="K5" s="86"/>
      <c r="L5" s="96">
        <v>72714</v>
      </c>
      <c r="M5" s="96">
        <v>75356</v>
      </c>
      <c r="N5" s="96">
        <v>78112</v>
      </c>
      <c r="O5" s="96"/>
      <c r="Q5" s="96"/>
      <c r="S5" s="96"/>
    </row>
    <row r="6" spans="1:19" x14ac:dyDescent="0.25">
      <c r="A6" s="86" t="s">
        <v>67</v>
      </c>
      <c r="B6" s="86"/>
      <c r="C6" s="86"/>
      <c r="D6" s="90">
        <v>1161</v>
      </c>
      <c r="E6" s="90">
        <v>1394</v>
      </c>
      <c r="F6" s="90">
        <v>1532</v>
      </c>
      <c r="G6" s="90"/>
      <c r="I6" s="92" t="s">
        <v>69</v>
      </c>
      <c r="J6" s="92"/>
      <c r="K6" s="92"/>
      <c r="L6" s="96">
        <v>51125</v>
      </c>
      <c r="M6" s="96">
        <v>53299</v>
      </c>
      <c r="N6" s="96">
        <v>54864</v>
      </c>
      <c r="O6" s="96"/>
      <c r="Q6" s="96"/>
      <c r="S6" s="96"/>
    </row>
    <row r="7" spans="1:19" x14ac:dyDescent="0.25">
      <c r="A7" s="86" t="s">
        <v>68</v>
      </c>
      <c r="B7" s="86"/>
      <c r="C7" s="86"/>
      <c r="D7" s="90">
        <v>93561</v>
      </c>
      <c r="E7" s="90">
        <v>106005</v>
      </c>
      <c r="F7" s="90">
        <v>109120</v>
      </c>
      <c r="G7" s="90"/>
      <c r="I7" s="92" t="s">
        <v>70</v>
      </c>
      <c r="J7" s="92"/>
      <c r="K7" s="92"/>
      <c r="L7" s="96">
        <v>15140</v>
      </c>
      <c r="M7" s="96">
        <v>15723</v>
      </c>
      <c r="N7" s="96">
        <v>16233</v>
      </c>
      <c r="O7" s="96"/>
      <c r="Q7" s="96"/>
      <c r="S7" s="96"/>
    </row>
    <row r="8" spans="1:19" x14ac:dyDescent="0.25">
      <c r="A8" s="86" t="s">
        <v>69</v>
      </c>
      <c r="B8" s="86"/>
      <c r="C8" s="86"/>
      <c r="D8" s="90">
        <v>66177</v>
      </c>
      <c r="E8" s="90">
        <v>74963</v>
      </c>
      <c r="F8" s="90">
        <v>82229</v>
      </c>
      <c r="G8" s="90"/>
      <c r="I8" s="92" t="s">
        <v>71</v>
      </c>
      <c r="J8" s="92"/>
      <c r="K8" s="92"/>
      <c r="L8" s="96">
        <v>2225</v>
      </c>
      <c r="M8" s="96">
        <v>2224</v>
      </c>
      <c r="N8" s="96">
        <v>2357</v>
      </c>
      <c r="O8" s="96"/>
      <c r="Q8" s="96"/>
      <c r="S8" s="96"/>
    </row>
    <row r="9" spans="1:19" x14ac:dyDescent="0.25">
      <c r="A9" s="86" t="s">
        <v>70</v>
      </c>
      <c r="B9" s="86"/>
      <c r="C9" s="86"/>
      <c r="D9" s="90">
        <v>18615</v>
      </c>
      <c r="E9" s="90">
        <v>19752</v>
      </c>
      <c r="F9" s="90">
        <v>20658</v>
      </c>
      <c r="G9" s="90"/>
      <c r="I9" s="92" t="s">
        <v>13</v>
      </c>
      <c r="J9" s="92"/>
      <c r="K9" s="92"/>
      <c r="L9" s="96">
        <v>4224</v>
      </c>
      <c r="M9" s="96">
        <v>4110</v>
      </c>
      <c r="N9" s="96">
        <v>4658</v>
      </c>
      <c r="O9" s="96"/>
      <c r="Q9" s="96"/>
      <c r="S9" s="96"/>
    </row>
    <row r="10" spans="1:19" x14ac:dyDescent="0.25">
      <c r="A10" s="86" t="s">
        <v>71</v>
      </c>
      <c r="B10" s="86"/>
      <c r="C10" s="86"/>
      <c r="D10" s="90">
        <v>2230</v>
      </c>
      <c r="E10" s="90">
        <v>2344</v>
      </c>
      <c r="F10" s="90">
        <v>2385</v>
      </c>
      <c r="G10" s="90"/>
      <c r="I10" s="92" t="s">
        <v>72</v>
      </c>
      <c r="J10" s="92"/>
      <c r="K10" s="92"/>
      <c r="L10" s="96">
        <v>653</v>
      </c>
      <c r="M10" s="96">
        <v>461</v>
      </c>
      <c r="N10" s="96">
        <v>477</v>
      </c>
      <c r="O10" s="96"/>
      <c r="Q10" s="96"/>
      <c r="S10" s="96"/>
    </row>
    <row r="11" spans="1:19" x14ac:dyDescent="0.25">
      <c r="A11" s="86" t="s">
        <v>13</v>
      </c>
      <c r="B11" s="86"/>
      <c r="C11" s="86"/>
      <c r="D11" s="90">
        <v>6539</v>
      </c>
      <c r="E11" s="90">
        <v>8946</v>
      </c>
      <c r="F11" s="90">
        <v>3848</v>
      </c>
      <c r="G11" s="90"/>
      <c r="I11" s="92" t="s">
        <v>73</v>
      </c>
      <c r="J11" s="92"/>
      <c r="K11" s="92"/>
      <c r="L11" s="97">
        <v>-59</v>
      </c>
      <c r="M11" s="97">
        <v>-27</v>
      </c>
      <c r="N11" s="97">
        <v>-9</v>
      </c>
      <c r="O11" s="97"/>
      <c r="Q11" s="97"/>
      <c r="S11" s="97"/>
    </row>
    <row r="12" spans="1:19" x14ac:dyDescent="0.25">
      <c r="A12" s="86" t="s">
        <v>72</v>
      </c>
      <c r="B12" s="86"/>
      <c r="C12" s="86"/>
      <c r="D12" s="90">
        <v>977</v>
      </c>
      <c r="E12" s="90">
        <v>421</v>
      </c>
      <c r="F12" s="90">
        <v>478</v>
      </c>
      <c r="G12" s="90"/>
      <c r="I12" s="92" t="s">
        <v>118</v>
      </c>
      <c r="J12" s="92"/>
      <c r="K12" s="92"/>
      <c r="L12" s="96">
        <v>3630</v>
      </c>
      <c r="M12" s="96">
        <v>3676</v>
      </c>
      <c r="N12" s="96">
        <v>4190</v>
      </c>
      <c r="O12" s="96"/>
      <c r="Q12" s="96"/>
      <c r="S12" s="96"/>
    </row>
    <row r="13" spans="1:19" x14ac:dyDescent="0.25">
      <c r="A13" s="86" t="s">
        <v>73</v>
      </c>
      <c r="B13" s="86"/>
      <c r="C13" s="86"/>
      <c r="D13" s="90">
        <v>16</v>
      </c>
      <c r="E13" s="91">
        <v>-382</v>
      </c>
      <c r="F13" s="91">
        <v>-48</v>
      </c>
      <c r="G13" s="91"/>
      <c r="I13" s="92" t="s">
        <v>75</v>
      </c>
      <c r="J13" s="92"/>
      <c r="K13" s="92"/>
      <c r="L13" s="96">
        <v>722</v>
      </c>
      <c r="M13" s="96">
        <v>746</v>
      </c>
      <c r="N13" s="96">
        <v>921</v>
      </c>
      <c r="O13" s="96"/>
      <c r="Q13" s="96"/>
      <c r="S13" s="96"/>
    </row>
    <row r="14" spans="1:19" x14ac:dyDescent="0.25">
      <c r="A14" s="86" t="s">
        <v>74</v>
      </c>
      <c r="B14" s="86"/>
      <c r="C14" s="86"/>
      <c r="D14" s="90">
        <v>5546</v>
      </c>
      <c r="E14" s="90">
        <v>8907</v>
      </c>
      <c r="F14" s="90">
        <v>3418</v>
      </c>
      <c r="G14" s="90"/>
      <c r="I14" s="92" t="s">
        <v>119</v>
      </c>
      <c r="J14" s="92"/>
      <c r="K14" s="92"/>
      <c r="L14" s="96">
        <v>2908</v>
      </c>
      <c r="M14" s="96">
        <v>2930</v>
      </c>
      <c r="N14" s="96">
        <v>3269</v>
      </c>
      <c r="O14" s="96"/>
      <c r="Q14" s="96"/>
      <c r="S14" s="96"/>
    </row>
    <row r="15" spans="1:19" x14ac:dyDescent="0.25">
      <c r="A15" s="86" t="s">
        <v>75</v>
      </c>
      <c r="B15" s="86"/>
      <c r="C15" s="86"/>
      <c r="D15" s="90">
        <v>1178</v>
      </c>
      <c r="E15" s="90">
        <v>1961</v>
      </c>
      <c r="F15" s="90">
        <v>638</v>
      </c>
      <c r="G15" s="90"/>
      <c r="I15" s="92" t="s">
        <v>120</v>
      </c>
      <c r="J15" s="92"/>
      <c r="K15" s="92"/>
      <c r="L15" s="96">
        <v>6</v>
      </c>
      <c r="M15" s="96">
        <v>7</v>
      </c>
      <c r="N15" s="96">
        <v>12</v>
      </c>
      <c r="O15" s="96"/>
      <c r="Q15" s="96"/>
      <c r="S15" s="96"/>
    </row>
    <row r="16" spans="1:19" x14ac:dyDescent="0.25">
      <c r="A16" s="86" t="s">
        <v>76</v>
      </c>
      <c r="B16" s="86"/>
      <c r="C16" s="86"/>
      <c r="D16" s="89">
        <v>4368</v>
      </c>
      <c r="E16" s="89">
        <v>6946</v>
      </c>
      <c r="F16" s="89">
        <v>2780</v>
      </c>
      <c r="G16" s="89"/>
      <c r="I16" s="92" t="s">
        <v>76</v>
      </c>
      <c r="J16" s="92"/>
      <c r="K16" s="92"/>
      <c r="L16" s="95">
        <v>2914</v>
      </c>
      <c r="M16" s="95">
        <v>2937</v>
      </c>
      <c r="N16" s="95">
        <v>3281</v>
      </c>
      <c r="O16" s="95"/>
      <c r="Q16" s="95"/>
      <c r="S16" s="95"/>
    </row>
    <row r="17" spans="1:20" x14ac:dyDescent="0.25">
      <c r="A17" s="86" t="s">
        <v>77</v>
      </c>
      <c r="B17" s="86"/>
      <c r="C17" s="86"/>
      <c r="D17" s="88">
        <v>8.7200000000000006</v>
      </c>
      <c r="E17" s="88">
        <v>14.23</v>
      </c>
      <c r="F17" s="88">
        <v>6.02</v>
      </c>
      <c r="G17" s="88"/>
      <c r="I17" s="92" t="s">
        <v>77</v>
      </c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x14ac:dyDescent="0.25">
      <c r="A18" s="86" t="s">
        <v>78</v>
      </c>
      <c r="B18" s="86"/>
      <c r="C18" s="86"/>
      <c r="D18" s="88">
        <v>8.64</v>
      </c>
      <c r="E18" s="88">
        <v>14.1</v>
      </c>
      <c r="F18" s="88">
        <v>5.98</v>
      </c>
      <c r="G18" s="88"/>
      <c r="I18" s="92" t="s">
        <v>53</v>
      </c>
      <c r="J18" s="92"/>
      <c r="K18" s="92"/>
      <c r="L18" s="94">
        <v>5.32</v>
      </c>
      <c r="M18" s="94">
        <v>5.54</v>
      </c>
      <c r="N18" s="94">
        <v>6.39</v>
      </c>
      <c r="O18" s="94"/>
      <c r="Q18" s="94"/>
      <c r="S18" s="94"/>
    </row>
    <row r="19" spans="1:20" x14ac:dyDescent="0.25">
      <c r="A19" s="86" t="s">
        <v>79</v>
      </c>
      <c r="B19" s="86"/>
      <c r="C19" s="86"/>
      <c r="D19" s="86"/>
      <c r="E19" s="86"/>
      <c r="F19" s="86"/>
      <c r="G19" s="86"/>
      <c r="H19" s="86"/>
      <c r="I19" s="92" t="s">
        <v>54</v>
      </c>
      <c r="J19" s="92"/>
      <c r="K19" s="92"/>
      <c r="L19" s="93">
        <v>0.01</v>
      </c>
      <c r="M19" s="93">
        <v>0.01</v>
      </c>
      <c r="N19" s="93">
        <v>0.02</v>
      </c>
      <c r="O19" s="93"/>
      <c r="Q19" s="93"/>
      <c r="S19" s="93"/>
    </row>
    <row r="20" spans="1:20" x14ac:dyDescent="0.25">
      <c r="A20" s="86" t="s">
        <v>55</v>
      </c>
      <c r="B20" s="86"/>
      <c r="C20" s="86"/>
      <c r="D20" s="87">
        <v>500.6</v>
      </c>
      <c r="E20" s="87">
        <v>488.1</v>
      </c>
      <c r="F20" s="87">
        <v>462.1</v>
      </c>
      <c r="G20" s="87"/>
      <c r="I20" s="92" t="s">
        <v>121</v>
      </c>
      <c r="J20" s="92"/>
      <c r="K20" s="92"/>
      <c r="L20" s="94">
        <v>5.32</v>
      </c>
      <c r="M20" s="94">
        <v>5.55</v>
      </c>
      <c r="N20" s="94">
        <v>6.42</v>
      </c>
      <c r="O20" s="94"/>
      <c r="Q20" s="94"/>
      <c r="S20" s="94"/>
    </row>
    <row r="21" spans="1:20" x14ac:dyDescent="0.25">
      <c r="A21" s="86" t="s">
        <v>52</v>
      </c>
      <c r="B21" s="86"/>
      <c r="C21" s="86"/>
      <c r="D21" s="87">
        <v>505.4</v>
      </c>
      <c r="E21" s="87">
        <v>492.7</v>
      </c>
      <c r="F21" s="87">
        <v>464.7</v>
      </c>
      <c r="G21" s="87"/>
      <c r="I21" s="92" t="s">
        <v>78</v>
      </c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x14ac:dyDescent="0.25">
      <c r="A22" s="86" t="s">
        <v>80</v>
      </c>
      <c r="B22" s="86"/>
      <c r="C22" s="86"/>
      <c r="D22" s="86" t="s">
        <v>81</v>
      </c>
      <c r="E22" s="86" t="s">
        <v>81</v>
      </c>
      <c r="F22" s="87">
        <v>1.1000000000000001</v>
      </c>
      <c r="G22" s="87"/>
      <c r="I22" s="92" t="s">
        <v>53</v>
      </c>
      <c r="J22" s="92"/>
      <c r="K22" s="92"/>
      <c r="L22" s="94">
        <v>5.29</v>
      </c>
      <c r="M22" s="94">
        <v>5.5</v>
      </c>
      <c r="N22" s="94">
        <v>6.34</v>
      </c>
      <c r="O22" s="94"/>
      <c r="Q22" s="94"/>
      <c r="S22" s="94"/>
    </row>
    <row r="23" spans="1:20" x14ac:dyDescent="0.25">
      <c r="A23" s="66"/>
      <c r="B23" s="69"/>
      <c r="C23" s="69"/>
      <c r="D23" s="69"/>
      <c r="E23" s="69"/>
      <c r="I23" s="92" t="s">
        <v>54</v>
      </c>
      <c r="J23" s="92"/>
      <c r="K23" s="92"/>
      <c r="L23" s="93">
        <v>0.01</v>
      </c>
      <c r="M23" s="93">
        <v>0.01</v>
      </c>
      <c r="N23" s="93">
        <v>0.02</v>
      </c>
      <c r="O23" s="93"/>
      <c r="Q23" s="93"/>
      <c r="S23" s="93"/>
    </row>
    <row r="24" spans="1:20" x14ac:dyDescent="0.25">
      <c r="A24" s="66"/>
      <c r="B24" s="69"/>
      <c r="C24" s="69"/>
      <c r="D24" s="69"/>
      <c r="E24" s="69"/>
      <c r="I24" s="92" t="s">
        <v>121</v>
      </c>
      <c r="J24" s="92"/>
      <c r="K24" s="92"/>
      <c r="L24" s="94">
        <v>5.29</v>
      </c>
      <c r="M24" s="94">
        <v>5.51</v>
      </c>
      <c r="N24" s="94">
        <v>6.36</v>
      </c>
      <c r="O24" s="94"/>
      <c r="Q24" s="94"/>
      <c r="S24" s="94"/>
    </row>
    <row r="25" spans="1:20" x14ac:dyDescent="0.25">
      <c r="A25" s="66"/>
      <c r="B25" s="69"/>
      <c r="C25" s="69"/>
      <c r="D25" s="69"/>
      <c r="E25" s="69"/>
      <c r="I25" s="92" t="s">
        <v>79</v>
      </c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x14ac:dyDescent="0.25">
      <c r="A26" s="66"/>
      <c r="B26" s="67"/>
      <c r="C26" s="67"/>
      <c r="D26" s="67"/>
      <c r="E26" s="67"/>
      <c r="I26" s="92" t="s">
        <v>55</v>
      </c>
      <c r="J26" s="92"/>
      <c r="K26" s="92"/>
      <c r="L26" s="93">
        <v>546.79999999999995</v>
      </c>
      <c r="M26" s="93">
        <v>528.6</v>
      </c>
      <c r="N26" s="93">
        <v>510.9</v>
      </c>
      <c r="O26" s="93"/>
      <c r="Q26" s="93"/>
      <c r="S26" s="93"/>
    </row>
    <row r="27" spans="1:20" x14ac:dyDescent="0.25">
      <c r="A27" s="66"/>
      <c r="B27" s="69"/>
      <c r="C27" s="69"/>
      <c r="D27" s="69"/>
      <c r="E27" s="69"/>
      <c r="I27" s="92" t="s">
        <v>52</v>
      </c>
      <c r="J27" s="92"/>
      <c r="K27" s="92"/>
      <c r="L27" s="93">
        <v>550.29999999999995</v>
      </c>
      <c r="M27" s="93">
        <v>533.20000000000005</v>
      </c>
      <c r="N27" s="93">
        <v>515.6</v>
      </c>
      <c r="O27" s="93"/>
      <c r="Q27" s="93"/>
      <c r="S27" s="93"/>
    </row>
    <row r="28" spans="1:20" x14ac:dyDescent="0.25">
      <c r="A28" s="66"/>
      <c r="B28" s="69"/>
      <c r="C28" s="69"/>
      <c r="D28" s="69"/>
      <c r="E28" s="69"/>
      <c r="I28" s="92" t="s">
        <v>80</v>
      </c>
      <c r="J28" s="92"/>
      <c r="K28" s="92"/>
      <c r="L28" s="93">
        <v>4.0999999999999996</v>
      </c>
      <c r="M28" s="92" t="s">
        <v>81</v>
      </c>
      <c r="N28" s="92" t="s">
        <v>81</v>
      </c>
      <c r="O28" s="92"/>
      <c r="Q28" s="92"/>
      <c r="S28" s="93"/>
    </row>
    <row r="29" spans="1:20" x14ac:dyDescent="0.25">
      <c r="A29" s="66"/>
      <c r="B29" s="67"/>
      <c r="C29" s="67"/>
      <c r="D29" s="67"/>
      <c r="E29" s="67"/>
    </row>
    <row r="30" spans="1:20" x14ac:dyDescent="0.25">
      <c r="A30" s="67"/>
      <c r="B30" s="67"/>
      <c r="C30" s="67"/>
      <c r="D30" s="67"/>
      <c r="E30" s="67"/>
    </row>
    <row r="31" spans="1:20" x14ac:dyDescent="0.25">
      <c r="A31" s="66"/>
      <c r="B31" s="67"/>
      <c r="C31" s="67"/>
      <c r="D31" s="67"/>
      <c r="E31" s="67"/>
    </row>
    <row r="32" spans="1:20" x14ac:dyDescent="0.25">
      <c r="A32" s="66"/>
      <c r="B32" s="68"/>
      <c r="C32" s="68"/>
      <c r="D32" s="68"/>
      <c r="E32" s="68"/>
    </row>
    <row r="33" spans="1:5" x14ac:dyDescent="0.25">
      <c r="A33" s="67"/>
      <c r="B33" s="67"/>
      <c r="C33" s="67"/>
      <c r="D33" s="67"/>
      <c r="E33" s="67"/>
    </row>
    <row r="34" spans="1:5" x14ac:dyDescent="0.25">
      <c r="A34" s="66"/>
      <c r="B34" s="67"/>
      <c r="C34" s="67"/>
      <c r="D34" s="67"/>
      <c r="E34" s="67"/>
    </row>
    <row r="35" spans="1:5" x14ac:dyDescent="0.25">
      <c r="A35" s="66"/>
      <c r="B35" s="67"/>
      <c r="C35" s="67"/>
      <c r="D35" s="67"/>
      <c r="E35" s="67"/>
    </row>
    <row r="36" spans="1:5" x14ac:dyDescent="0.25">
      <c r="A36" s="66"/>
      <c r="B36" s="70"/>
      <c r="C36" s="70"/>
      <c r="D36" s="70"/>
      <c r="E36" s="70"/>
    </row>
    <row r="37" spans="1:5" x14ac:dyDescent="0.25">
      <c r="A37" s="66"/>
      <c r="B37" s="71"/>
      <c r="C37" s="71"/>
      <c r="D37" s="71"/>
      <c r="E37" s="71"/>
    </row>
    <row r="38" spans="1:5" x14ac:dyDescent="0.25">
      <c r="A38" s="66"/>
      <c r="B38" s="70"/>
      <c r="C38" s="70"/>
      <c r="D38" s="70"/>
      <c r="E38" s="70"/>
    </row>
    <row r="39" spans="1:5" x14ac:dyDescent="0.25">
      <c r="A39" s="67"/>
      <c r="B39" s="67"/>
      <c r="C39" s="67"/>
      <c r="D39" s="67"/>
      <c r="E39" s="67"/>
    </row>
    <row r="40" spans="1:5" x14ac:dyDescent="0.25">
      <c r="A40" s="66"/>
      <c r="B40" s="67"/>
      <c r="C40" s="67"/>
      <c r="D40" s="67"/>
      <c r="E40" s="67"/>
    </row>
    <row r="41" spans="1:5" x14ac:dyDescent="0.25">
      <c r="A41" s="66"/>
      <c r="B41" s="70"/>
      <c r="C41" s="70"/>
      <c r="D41" s="70"/>
      <c r="E41" s="70"/>
    </row>
    <row r="42" spans="1:5" x14ac:dyDescent="0.25">
      <c r="A42" s="66"/>
      <c r="B42" s="71"/>
      <c r="C42" s="71"/>
      <c r="D42" s="71"/>
      <c r="E42" s="71"/>
    </row>
    <row r="43" spans="1:5" x14ac:dyDescent="0.25">
      <c r="A43" s="66"/>
      <c r="B43" s="70"/>
      <c r="C43" s="70"/>
      <c r="D43" s="70"/>
      <c r="E43" s="70"/>
    </row>
    <row r="44" spans="1:5" x14ac:dyDescent="0.25">
      <c r="A44" s="67"/>
      <c r="B44" s="67"/>
      <c r="C44" s="67"/>
      <c r="D44" s="67"/>
      <c r="E44" s="67"/>
    </row>
    <row r="45" spans="1:5" x14ac:dyDescent="0.25">
      <c r="A45" s="66"/>
      <c r="B45" s="67"/>
      <c r="C45" s="67"/>
      <c r="D45" s="67"/>
      <c r="E45" s="67"/>
    </row>
    <row r="46" spans="1:5" x14ac:dyDescent="0.25">
      <c r="A46" s="66"/>
      <c r="B46" s="67"/>
      <c r="C46" s="67"/>
      <c r="D46" s="67"/>
      <c r="E46" s="67"/>
    </row>
    <row r="47" spans="1:5" x14ac:dyDescent="0.25">
      <c r="A47" s="66"/>
      <c r="B47" s="69"/>
      <c r="C47" s="69"/>
      <c r="D47" s="69"/>
      <c r="E47" s="69"/>
    </row>
    <row r="48" spans="1:5" x14ac:dyDescent="0.25">
      <c r="A48" s="66"/>
      <c r="B48" s="69"/>
      <c r="C48" s="69"/>
      <c r="D48" s="69"/>
      <c r="E48" s="69"/>
    </row>
  </sheetData>
  <sortState xmlns:xlrd2="http://schemas.microsoft.com/office/spreadsheetml/2017/richdata2" columnSort="1" ref="D4:G22">
    <sortCondition ref="D4:G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S70"/>
  <sheetViews>
    <sheetView topLeftCell="A16" workbookViewId="0">
      <selection activeCell="E8" sqref="E8"/>
    </sheetView>
  </sheetViews>
  <sheetFormatPr defaultRowHeight="15" x14ac:dyDescent="0.25"/>
  <cols>
    <col min="1" max="1" width="56.5703125" customWidth="1"/>
    <col min="4" max="6" width="10.42578125" customWidth="1"/>
  </cols>
  <sheetData>
    <row r="1" spans="1:19" x14ac:dyDescent="0.25">
      <c r="A1" s="86" t="s">
        <v>82</v>
      </c>
      <c r="B1" s="86"/>
      <c r="C1" s="86"/>
      <c r="D1" s="86"/>
      <c r="E1" s="86"/>
      <c r="F1" s="86"/>
    </row>
    <row r="2" spans="1:19" x14ac:dyDescent="0.25">
      <c r="A2" s="92"/>
      <c r="B2" s="92"/>
      <c r="H2" s="92" t="s">
        <v>83</v>
      </c>
      <c r="I2" s="92"/>
      <c r="J2" s="92"/>
      <c r="K2" s="92" t="s">
        <v>117</v>
      </c>
      <c r="L2" s="92" t="s">
        <v>116</v>
      </c>
      <c r="M2" s="92" t="s">
        <v>115</v>
      </c>
      <c r="N2" s="92"/>
      <c r="P2" s="92"/>
      <c r="R2" s="92"/>
    </row>
    <row r="3" spans="1:19" x14ac:dyDescent="0.25">
      <c r="H3" s="92" t="s">
        <v>84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spans="1:19" x14ac:dyDescent="0.25">
      <c r="A4" s="86" t="s">
        <v>83</v>
      </c>
      <c r="B4" s="86"/>
      <c r="C4" s="86"/>
      <c r="D4" s="86" t="s">
        <v>65</v>
      </c>
      <c r="E4" s="86" t="s">
        <v>64</v>
      </c>
      <c r="F4" s="86" t="s">
        <v>63</v>
      </c>
      <c r="G4" s="86"/>
      <c r="H4" s="92" t="s">
        <v>76</v>
      </c>
      <c r="I4" s="92"/>
      <c r="J4" s="92"/>
      <c r="K4" s="95">
        <v>2914</v>
      </c>
      <c r="L4" s="95">
        <v>2937</v>
      </c>
      <c r="M4" s="95">
        <v>3281</v>
      </c>
      <c r="N4" s="95"/>
      <c r="P4" s="95"/>
      <c r="R4" s="95"/>
    </row>
    <row r="5" spans="1:19" x14ac:dyDescent="0.25">
      <c r="A5" s="86" t="s">
        <v>84</v>
      </c>
      <c r="B5" s="86"/>
      <c r="C5" s="86"/>
      <c r="D5" s="86"/>
      <c r="E5" s="86"/>
      <c r="F5" s="86"/>
      <c r="G5" s="86"/>
      <c r="H5" s="92" t="s">
        <v>122</v>
      </c>
      <c r="I5" s="92"/>
      <c r="J5" s="92"/>
      <c r="K5" s="96">
        <v>6</v>
      </c>
      <c r="L5" s="96">
        <v>7</v>
      </c>
      <c r="M5" s="96">
        <v>12</v>
      </c>
      <c r="N5" s="96"/>
      <c r="P5" s="96"/>
      <c r="R5" s="96"/>
    </row>
    <row r="6" spans="1:19" x14ac:dyDescent="0.25">
      <c r="A6" s="86" t="s">
        <v>76</v>
      </c>
      <c r="B6" s="86"/>
      <c r="C6" s="86"/>
      <c r="D6" s="89">
        <v>4368</v>
      </c>
      <c r="E6" s="89">
        <v>6946</v>
      </c>
      <c r="F6" s="89">
        <v>2780</v>
      </c>
      <c r="H6" s="92" t="s">
        <v>119</v>
      </c>
      <c r="I6" s="92"/>
      <c r="J6" s="92"/>
      <c r="K6" s="96">
        <v>2908</v>
      </c>
      <c r="L6" s="96">
        <v>2930</v>
      </c>
      <c r="M6" s="96">
        <v>3269</v>
      </c>
      <c r="N6" s="96"/>
      <c r="P6" s="96"/>
      <c r="R6" s="96"/>
    </row>
    <row r="7" spans="1:19" x14ac:dyDescent="0.25">
      <c r="A7" s="86" t="s">
        <v>85</v>
      </c>
      <c r="B7" s="86"/>
      <c r="C7" s="86"/>
      <c r="D7" s="86"/>
      <c r="E7" s="86"/>
      <c r="F7" s="86"/>
      <c r="G7" s="86"/>
      <c r="H7" s="92" t="s">
        <v>85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</row>
    <row r="8" spans="1:19" x14ac:dyDescent="0.25">
      <c r="A8" s="86" t="s">
        <v>51</v>
      </c>
      <c r="B8" s="86"/>
      <c r="C8" s="86"/>
      <c r="D8" s="90">
        <v>2485</v>
      </c>
      <c r="E8" s="90">
        <v>2642</v>
      </c>
      <c r="F8" s="90">
        <v>2700</v>
      </c>
      <c r="H8" s="92" t="s">
        <v>51</v>
      </c>
      <c r="I8" s="92"/>
      <c r="J8" s="92"/>
      <c r="K8" s="96">
        <v>2476</v>
      </c>
      <c r="L8" s="96">
        <v>2474</v>
      </c>
      <c r="M8" s="96">
        <v>2604</v>
      </c>
      <c r="N8" s="96"/>
      <c r="P8" s="96"/>
      <c r="R8" s="96"/>
    </row>
    <row r="9" spans="1:19" x14ac:dyDescent="0.25">
      <c r="A9" s="86" t="s">
        <v>86</v>
      </c>
      <c r="B9" s="86"/>
      <c r="C9" s="86"/>
      <c r="D9" s="90">
        <v>200</v>
      </c>
      <c r="E9" s="90">
        <v>228</v>
      </c>
      <c r="F9" s="90">
        <v>220</v>
      </c>
      <c r="H9" s="92" t="s">
        <v>86</v>
      </c>
      <c r="I9" s="92"/>
      <c r="J9" s="92"/>
      <c r="K9" s="96">
        <v>112</v>
      </c>
      <c r="L9" s="96">
        <v>132</v>
      </c>
      <c r="M9" s="96">
        <v>147</v>
      </c>
      <c r="N9" s="96"/>
      <c r="P9" s="96"/>
      <c r="R9" s="96"/>
    </row>
    <row r="10" spans="1:19" x14ac:dyDescent="0.25">
      <c r="A10" s="86" t="s">
        <v>56</v>
      </c>
      <c r="B10" s="86"/>
      <c r="C10" s="86"/>
      <c r="D10" s="91">
        <v>-184</v>
      </c>
      <c r="E10" s="90">
        <v>522</v>
      </c>
      <c r="F10" s="90">
        <v>582</v>
      </c>
      <c r="H10" s="92" t="s">
        <v>56</v>
      </c>
      <c r="I10" s="92"/>
      <c r="J10" s="92"/>
      <c r="K10" s="97">
        <v>-188</v>
      </c>
      <c r="L10" s="96">
        <v>322</v>
      </c>
      <c r="M10" s="96">
        <v>178</v>
      </c>
      <c r="N10" s="96"/>
      <c r="P10" s="96"/>
      <c r="R10" s="97"/>
    </row>
    <row r="11" spans="1:19" x14ac:dyDescent="0.25"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</row>
    <row r="12" spans="1:19" x14ac:dyDescent="0.25">
      <c r="A12" s="86" t="s">
        <v>87</v>
      </c>
      <c r="B12" s="86"/>
      <c r="C12" s="86"/>
      <c r="D12" s="86" t="s">
        <v>81</v>
      </c>
      <c r="E12" s="91">
        <v>-335</v>
      </c>
      <c r="F12" s="86" t="s">
        <v>81</v>
      </c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</row>
    <row r="13" spans="1:19" x14ac:dyDescent="0.25">
      <c r="A13" s="86" t="s">
        <v>88</v>
      </c>
      <c r="B13" s="86"/>
      <c r="C13" s="86"/>
      <c r="D13" s="90">
        <v>512</v>
      </c>
      <c r="E13" s="86" t="s">
        <v>81</v>
      </c>
      <c r="F13" s="86" t="s">
        <v>81</v>
      </c>
      <c r="H13" s="92" t="s">
        <v>88</v>
      </c>
      <c r="I13" s="92"/>
      <c r="J13" s="92"/>
      <c r="K13" s="96">
        <v>123</v>
      </c>
      <c r="L13" s="92" t="s">
        <v>81</v>
      </c>
      <c r="M13" s="96">
        <v>10</v>
      </c>
      <c r="N13" s="96"/>
      <c r="P13" s="92"/>
      <c r="R13" s="96"/>
    </row>
    <row r="14" spans="1:19" x14ac:dyDescent="0.25">
      <c r="A14" s="86" t="s">
        <v>89</v>
      </c>
      <c r="B14" s="86"/>
      <c r="C14" s="86"/>
      <c r="D14" s="90">
        <v>86</v>
      </c>
      <c r="E14" s="90">
        <v>67</v>
      </c>
      <c r="F14" s="90">
        <v>172</v>
      </c>
      <c r="H14" s="92" t="s">
        <v>123</v>
      </c>
      <c r="I14" s="92"/>
      <c r="J14" s="92"/>
      <c r="K14" s="96">
        <v>208</v>
      </c>
      <c r="L14" s="96">
        <v>95</v>
      </c>
      <c r="M14" s="96">
        <v>29</v>
      </c>
      <c r="N14" s="96"/>
      <c r="P14" s="96"/>
      <c r="R14" s="96"/>
    </row>
    <row r="15" spans="1:19" x14ac:dyDescent="0.25">
      <c r="A15" s="86" t="s">
        <v>90</v>
      </c>
      <c r="B15" s="86"/>
      <c r="C15" s="86"/>
      <c r="D15" s="86"/>
      <c r="E15" s="86"/>
      <c r="F15" s="86"/>
      <c r="G15" s="86"/>
      <c r="H15" s="92" t="s">
        <v>90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</row>
    <row r="16" spans="1:19" x14ac:dyDescent="0.25"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</row>
    <row r="17" spans="1:19" x14ac:dyDescent="0.25"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</row>
    <row r="18" spans="1:19" x14ac:dyDescent="0.25">
      <c r="A18" s="86" t="s">
        <v>91</v>
      </c>
      <c r="B18" s="86"/>
      <c r="C18" s="86"/>
      <c r="D18" s="91">
        <v>-1661</v>
      </c>
      <c r="E18" s="91">
        <v>-3249</v>
      </c>
      <c r="F18" s="90">
        <v>403</v>
      </c>
      <c r="H18" s="92" t="s">
        <v>91</v>
      </c>
      <c r="I18" s="92"/>
      <c r="J18" s="92"/>
      <c r="K18" s="97">
        <v>-348</v>
      </c>
      <c r="L18" s="97">
        <v>-900</v>
      </c>
      <c r="M18" s="96">
        <v>505</v>
      </c>
      <c r="N18" s="96"/>
      <c r="P18" s="97"/>
      <c r="R18" s="97"/>
    </row>
    <row r="19" spans="1:19" x14ac:dyDescent="0.25">
      <c r="A19" s="86" t="s">
        <v>57</v>
      </c>
      <c r="B19" s="86"/>
      <c r="C19" s="86"/>
      <c r="D19" s="91">
        <v>-137</v>
      </c>
      <c r="E19" s="91">
        <v>-78</v>
      </c>
      <c r="F19" s="90">
        <v>22</v>
      </c>
      <c r="H19" s="92" t="s">
        <v>57</v>
      </c>
      <c r="I19" s="92"/>
      <c r="J19" s="92"/>
      <c r="K19" s="97">
        <v>-156</v>
      </c>
      <c r="L19" s="97">
        <v>-299</v>
      </c>
      <c r="M19" s="96">
        <v>18</v>
      </c>
      <c r="N19" s="96"/>
      <c r="P19" s="97"/>
      <c r="R19" s="97"/>
    </row>
    <row r="20" spans="1:19" x14ac:dyDescent="0.25">
      <c r="A20" s="86" t="s">
        <v>92</v>
      </c>
      <c r="B20" s="86"/>
      <c r="C20" s="86"/>
      <c r="D20" s="90">
        <v>2925</v>
      </c>
      <c r="E20" s="90">
        <v>2628</v>
      </c>
      <c r="F20" s="91">
        <v>-2237</v>
      </c>
      <c r="H20" s="92" t="s">
        <v>92</v>
      </c>
      <c r="I20" s="92"/>
      <c r="J20" s="92"/>
      <c r="K20" s="96">
        <v>1307</v>
      </c>
      <c r="L20" s="96">
        <v>1127</v>
      </c>
      <c r="M20" s="96">
        <v>140</v>
      </c>
      <c r="N20" s="96"/>
      <c r="P20" s="96"/>
      <c r="R20" s="96"/>
    </row>
    <row r="21" spans="1:19" x14ac:dyDescent="0.25">
      <c r="A21" s="86" t="s">
        <v>93</v>
      </c>
      <c r="B21" s="86"/>
      <c r="C21" s="86"/>
      <c r="D21" s="90">
        <v>1931</v>
      </c>
      <c r="E21" s="91">
        <v>-746</v>
      </c>
      <c r="F21" s="91">
        <v>-624</v>
      </c>
      <c r="H21" s="92" t="s">
        <v>93</v>
      </c>
      <c r="I21" s="92"/>
      <c r="J21" s="92"/>
      <c r="K21" s="96">
        <v>419</v>
      </c>
      <c r="L21" s="96">
        <v>89</v>
      </c>
      <c r="M21" s="96">
        <v>199</v>
      </c>
      <c r="N21" s="96"/>
      <c r="P21" s="96"/>
      <c r="R21" s="96"/>
    </row>
    <row r="22" spans="1:19" x14ac:dyDescent="0.25"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</row>
    <row r="23" spans="1:19" x14ac:dyDescent="0.25"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</row>
    <row r="24" spans="1:19" x14ac:dyDescent="0.25">
      <c r="H24" s="92" t="s">
        <v>124</v>
      </c>
      <c r="I24" s="92"/>
      <c r="J24" s="92"/>
      <c r="K24" s="96">
        <v>6861</v>
      </c>
      <c r="L24" s="96">
        <v>5970</v>
      </c>
      <c r="M24" s="96">
        <v>7099</v>
      </c>
      <c r="N24" s="96"/>
      <c r="P24" s="96"/>
      <c r="R24" s="96"/>
    </row>
    <row r="25" spans="1:19" x14ac:dyDescent="0.25">
      <c r="H25" s="92" t="s">
        <v>125</v>
      </c>
      <c r="I25" s="92"/>
      <c r="J25" s="92"/>
      <c r="K25" s="96">
        <v>74</v>
      </c>
      <c r="L25" s="96">
        <v>3</v>
      </c>
      <c r="M25" s="96">
        <v>18</v>
      </c>
      <c r="N25" s="96"/>
      <c r="P25" s="96"/>
      <c r="R25" s="96"/>
    </row>
    <row r="26" spans="1:19" x14ac:dyDescent="0.25">
      <c r="A26" s="86" t="s">
        <v>94</v>
      </c>
      <c r="B26" s="86"/>
      <c r="C26" s="86"/>
      <c r="D26" s="90">
        <v>10525</v>
      </c>
      <c r="E26" s="90">
        <v>8625</v>
      </c>
      <c r="F26" s="90">
        <v>4018</v>
      </c>
      <c r="H26" s="92" t="s">
        <v>126</v>
      </c>
      <c r="I26" s="92"/>
      <c r="J26" s="92"/>
      <c r="K26" s="96">
        <v>6935</v>
      </c>
      <c r="L26" s="96">
        <v>5973</v>
      </c>
      <c r="M26" s="96">
        <v>7117</v>
      </c>
      <c r="N26" s="96"/>
      <c r="P26" s="96"/>
      <c r="R26" s="96"/>
    </row>
    <row r="27" spans="1:19" x14ac:dyDescent="0.25">
      <c r="A27" s="86" t="s">
        <v>95</v>
      </c>
      <c r="B27" s="86"/>
      <c r="C27" s="86"/>
      <c r="D27" s="86"/>
      <c r="E27" s="86"/>
      <c r="F27" s="86"/>
      <c r="G27" s="86"/>
      <c r="H27" s="92" t="s">
        <v>95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</row>
    <row r="28" spans="1:19" x14ac:dyDescent="0.25">
      <c r="A28" s="86" t="s">
        <v>96</v>
      </c>
      <c r="B28" s="86"/>
      <c r="C28" s="86"/>
      <c r="D28" s="91">
        <v>-2649</v>
      </c>
      <c r="E28" s="91">
        <v>-3544</v>
      </c>
      <c r="F28" s="91">
        <v>-5528</v>
      </c>
      <c r="H28" s="92" t="s">
        <v>96</v>
      </c>
      <c r="I28" s="92"/>
      <c r="J28" s="92"/>
      <c r="K28" s="97">
        <v>-2533</v>
      </c>
      <c r="L28" s="97">
        <v>-3516</v>
      </c>
      <c r="M28" s="97">
        <v>-3027</v>
      </c>
      <c r="N28" s="97"/>
      <c r="P28" s="97"/>
      <c r="R28" s="97"/>
    </row>
    <row r="29" spans="1:19" x14ac:dyDescent="0.25">
      <c r="A29" s="86" t="s">
        <v>97</v>
      </c>
      <c r="B29" s="86"/>
      <c r="C29" s="86"/>
      <c r="D29" s="90">
        <v>42</v>
      </c>
      <c r="E29" s="90">
        <v>27</v>
      </c>
      <c r="F29" s="90">
        <v>8</v>
      </c>
      <c r="H29" s="92" t="s">
        <v>97</v>
      </c>
      <c r="I29" s="92"/>
      <c r="J29" s="92"/>
      <c r="K29" s="96">
        <v>31</v>
      </c>
      <c r="L29" s="96">
        <v>85</v>
      </c>
      <c r="M29" s="96">
        <v>63</v>
      </c>
      <c r="N29" s="96"/>
      <c r="P29" s="96"/>
      <c r="R29" s="96"/>
    </row>
    <row r="30" spans="1:19" x14ac:dyDescent="0.25">
      <c r="A30" s="86" t="s">
        <v>98</v>
      </c>
      <c r="B30" s="86"/>
      <c r="C30" s="86"/>
      <c r="D30" s="86" t="s">
        <v>81</v>
      </c>
      <c r="E30" s="90">
        <v>356</v>
      </c>
      <c r="F30" s="86" t="s">
        <v>81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</row>
    <row r="31" spans="1:19" x14ac:dyDescent="0.25"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</row>
    <row r="32" spans="1:19" x14ac:dyDescent="0.25"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</row>
    <row r="33" spans="1:19" x14ac:dyDescent="0.25">
      <c r="H33" s="92" t="s">
        <v>127</v>
      </c>
      <c r="I33" s="92"/>
      <c r="J33" s="92"/>
      <c r="K33" s="97">
        <v>-518</v>
      </c>
      <c r="L33" s="92" t="s">
        <v>81</v>
      </c>
      <c r="M33" s="92" t="s">
        <v>81</v>
      </c>
      <c r="N33" s="92"/>
      <c r="P33" s="92"/>
      <c r="R33" s="97"/>
    </row>
    <row r="34" spans="1:19" x14ac:dyDescent="0.25">
      <c r="A34" s="86" t="s">
        <v>99</v>
      </c>
      <c r="B34" s="86"/>
      <c r="C34" s="86"/>
      <c r="D34" s="90">
        <v>16</v>
      </c>
      <c r="E34" s="90">
        <v>7</v>
      </c>
      <c r="F34" s="90">
        <v>16</v>
      </c>
      <c r="H34" s="92" t="s">
        <v>99</v>
      </c>
      <c r="I34" s="92"/>
      <c r="J34" s="92"/>
      <c r="K34" s="97">
        <v>-55</v>
      </c>
      <c r="L34" s="96">
        <v>15</v>
      </c>
      <c r="M34" s="96">
        <v>20</v>
      </c>
      <c r="N34" s="96"/>
      <c r="P34" s="96"/>
      <c r="R34" s="97"/>
    </row>
    <row r="35" spans="1:19" x14ac:dyDescent="0.25"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</row>
    <row r="36" spans="1:19" x14ac:dyDescent="0.25"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</row>
    <row r="37" spans="1:19" x14ac:dyDescent="0.25">
      <c r="A37" s="86" t="s">
        <v>100</v>
      </c>
      <c r="B37" s="86"/>
      <c r="C37" s="86"/>
      <c r="D37" s="91">
        <v>-2591</v>
      </c>
      <c r="E37" s="91">
        <v>-3154</v>
      </c>
      <c r="F37" s="91">
        <v>-5504</v>
      </c>
      <c r="H37" s="92" t="s">
        <v>100</v>
      </c>
      <c r="I37" s="92"/>
      <c r="J37" s="92"/>
      <c r="K37" s="97">
        <v>-3075</v>
      </c>
      <c r="L37" s="97">
        <v>-3416</v>
      </c>
      <c r="M37" s="97">
        <v>-2944</v>
      </c>
      <c r="N37" s="97"/>
      <c r="P37" s="97"/>
      <c r="R37" s="97"/>
    </row>
    <row r="38" spans="1:19" x14ac:dyDescent="0.25">
      <c r="A38" s="86" t="s">
        <v>101</v>
      </c>
      <c r="B38" s="86"/>
      <c r="C38" s="86"/>
      <c r="D38" s="86"/>
      <c r="E38" s="86"/>
      <c r="F38" s="86"/>
      <c r="G38" s="86"/>
      <c r="H38" s="92" t="s">
        <v>101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</row>
    <row r="39" spans="1:19" x14ac:dyDescent="0.25"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</row>
    <row r="40" spans="1:19" x14ac:dyDescent="0.25"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</row>
    <row r="41" spans="1:19" x14ac:dyDescent="0.25"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</row>
    <row r="42" spans="1:19" x14ac:dyDescent="0.25">
      <c r="A42" s="86" t="s">
        <v>102</v>
      </c>
      <c r="B42" s="86"/>
      <c r="C42" s="86"/>
      <c r="D42" s="90">
        <v>2480</v>
      </c>
      <c r="E42" s="90">
        <v>1972</v>
      </c>
      <c r="F42" s="90">
        <v>2625</v>
      </c>
      <c r="H42" s="92" t="s">
        <v>102</v>
      </c>
      <c r="I42" s="92"/>
      <c r="J42" s="92"/>
      <c r="K42" s="96">
        <v>739</v>
      </c>
      <c r="L42" s="92" t="s">
        <v>81</v>
      </c>
      <c r="M42" s="96">
        <v>1739</v>
      </c>
      <c r="N42" s="96"/>
      <c r="P42" s="92"/>
      <c r="R42" s="96"/>
    </row>
    <row r="43" spans="1:19" x14ac:dyDescent="0.25">
      <c r="A43" s="86" t="s">
        <v>103</v>
      </c>
      <c r="B43" s="86"/>
      <c r="C43" s="86"/>
      <c r="D43" s="91">
        <v>-2415</v>
      </c>
      <c r="E43" s="91">
        <v>-1147</v>
      </c>
      <c r="F43" s="91">
        <v>-163</v>
      </c>
      <c r="H43" s="92" t="s">
        <v>103</v>
      </c>
      <c r="I43" s="92"/>
      <c r="J43" s="92"/>
      <c r="K43" s="97">
        <v>-2192</v>
      </c>
      <c r="L43" s="97">
        <v>-281</v>
      </c>
      <c r="M43" s="97">
        <v>-2069</v>
      </c>
      <c r="N43" s="97"/>
      <c r="P43" s="97"/>
      <c r="R43" s="97"/>
    </row>
    <row r="44" spans="1:19" x14ac:dyDescent="0.25">
      <c r="A44" s="86" t="s">
        <v>104</v>
      </c>
      <c r="B44" s="86"/>
      <c r="C44" s="86"/>
      <c r="D44" s="91">
        <v>-1343</v>
      </c>
      <c r="E44" s="91">
        <v>-1548</v>
      </c>
      <c r="F44" s="91">
        <v>-1836</v>
      </c>
      <c r="H44" s="92" t="s">
        <v>104</v>
      </c>
      <c r="I44" s="92"/>
      <c r="J44" s="92"/>
      <c r="K44" s="97">
        <v>-1338</v>
      </c>
      <c r="L44" s="97">
        <v>-1335</v>
      </c>
      <c r="M44" s="97">
        <v>-1330</v>
      </c>
      <c r="N44" s="97"/>
      <c r="P44" s="97"/>
      <c r="R44" s="97"/>
    </row>
    <row r="45" spans="1:19" x14ac:dyDescent="0.25">
      <c r="A45" s="86" t="s">
        <v>105</v>
      </c>
      <c r="B45" s="86"/>
      <c r="C45" s="86"/>
      <c r="D45" s="91">
        <v>-745</v>
      </c>
      <c r="E45" s="91">
        <v>-7356</v>
      </c>
      <c r="F45" s="91">
        <v>-2826</v>
      </c>
      <c r="H45" s="92" t="s">
        <v>105</v>
      </c>
      <c r="I45" s="92"/>
      <c r="J45" s="92"/>
      <c r="K45" s="97">
        <v>-1046</v>
      </c>
      <c r="L45" s="97">
        <v>-2124</v>
      </c>
      <c r="M45" s="97">
        <v>-1565</v>
      </c>
      <c r="N45" s="97"/>
      <c r="P45" s="97"/>
      <c r="R45" s="97"/>
    </row>
    <row r="46" spans="1:19" x14ac:dyDescent="0.25"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</row>
    <row r="47" spans="1:19" x14ac:dyDescent="0.25">
      <c r="A47" s="86" t="s">
        <v>106</v>
      </c>
      <c r="B47" s="86"/>
      <c r="C47" s="86"/>
      <c r="D47" s="90">
        <v>23</v>
      </c>
      <c r="E47" s="90">
        <v>8</v>
      </c>
      <c r="F47" s="90">
        <v>4</v>
      </c>
      <c r="H47" s="92" t="s">
        <v>106</v>
      </c>
      <c r="I47" s="92"/>
      <c r="J47" s="92"/>
      <c r="K47" s="96">
        <v>108</v>
      </c>
      <c r="L47" s="96">
        <v>96</v>
      </c>
      <c r="M47" s="96">
        <v>73</v>
      </c>
      <c r="N47" s="96"/>
      <c r="P47" s="96"/>
      <c r="R47" s="96"/>
    </row>
    <row r="48" spans="1:19" x14ac:dyDescent="0.25"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</row>
    <row r="49" spans="1:19" x14ac:dyDescent="0.25">
      <c r="A49" s="86" t="s">
        <v>107</v>
      </c>
      <c r="B49" s="86"/>
      <c r="C49" s="86"/>
      <c r="D49" s="91">
        <v>-2000</v>
      </c>
      <c r="E49" s="91">
        <v>-8071</v>
      </c>
      <c r="F49" s="91">
        <v>-2196</v>
      </c>
      <c r="H49" s="92" t="s">
        <v>107</v>
      </c>
      <c r="I49" s="92"/>
      <c r="J49" s="92"/>
      <c r="K49" s="97">
        <v>-3729</v>
      </c>
      <c r="L49" s="97">
        <v>-3644</v>
      </c>
      <c r="M49" s="97">
        <v>-3152</v>
      </c>
      <c r="N49" s="97"/>
      <c r="P49" s="97"/>
      <c r="R49" s="97"/>
    </row>
    <row r="50" spans="1:19" x14ac:dyDescent="0.25"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</row>
    <row r="51" spans="1:19" x14ac:dyDescent="0.25">
      <c r="A51" s="86" t="s">
        <v>108</v>
      </c>
      <c r="B51" s="86"/>
      <c r="C51" s="86"/>
      <c r="D51" s="90">
        <v>5934</v>
      </c>
      <c r="E51" s="91">
        <v>-2600</v>
      </c>
      <c r="F51" s="91">
        <v>-3682</v>
      </c>
      <c r="H51" s="92" t="s">
        <v>128</v>
      </c>
      <c r="I51" s="92"/>
      <c r="J51" s="92"/>
      <c r="K51" s="96">
        <v>131</v>
      </c>
      <c r="L51" s="97">
        <v>-1087</v>
      </c>
      <c r="M51" s="96">
        <v>1021</v>
      </c>
      <c r="N51" s="96"/>
      <c r="P51" s="97"/>
      <c r="R51" s="96"/>
    </row>
    <row r="52" spans="1:19" x14ac:dyDescent="0.25">
      <c r="A52" s="86" t="s">
        <v>109</v>
      </c>
      <c r="B52" s="86"/>
      <c r="C52" s="86"/>
      <c r="D52" s="90">
        <v>2577</v>
      </c>
      <c r="E52" s="90">
        <v>8511</v>
      </c>
      <c r="F52" s="90">
        <v>5911</v>
      </c>
      <c r="H52" s="92" t="s">
        <v>109</v>
      </c>
      <c r="I52" s="92"/>
      <c r="J52" s="92"/>
      <c r="K52" s="96">
        <v>2512</v>
      </c>
      <c r="L52" s="96">
        <v>2643</v>
      </c>
      <c r="M52" s="96">
        <v>1556</v>
      </c>
      <c r="N52" s="96"/>
      <c r="P52" s="96"/>
      <c r="R52" s="96"/>
    </row>
    <row r="53" spans="1:19" x14ac:dyDescent="0.25">
      <c r="A53" s="86" t="s">
        <v>110</v>
      </c>
      <c r="B53" s="86"/>
      <c r="C53" s="86"/>
      <c r="D53" s="89">
        <v>8511</v>
      </c>
      <c r="E53" s="89">
        <v>5911</v>
      </c>
      <c r="F53" s="89">
        <v>2229</v>
      </c>
      <c r="H53" s="92" t="s">
        <v>110</v>
      </c>
      <c r="I53" s="92"/>
      <c r="J53" s="92"/>
      <c r="K53" s="95">
        <v>2643</v>
      </c>
      <c r="L53" s="95">
        <v>1556</v>
      </c>
      <c r="M53" s="95">
        <v>2577</v>
      </c>
      <c r="N53" s="95"/>
      <c r="P53" s="95"/>
      <c r="R53" s="95"/>
    </row>
    <row r="54" spans="1:19" x14ac:dyDescent="0.25">
      <c r="A54" s="86" t="s">
        <v>111</v>
      </c>
      <c r="B54" s="86"/>
      <c r="C54" s="86"/>
      <c r="D54" s="86"/>
      <c r="E54" s="86"/>
      <c r="F54" s="86"/>
      <c r="G54" s="86"/>
      <c r="H54" s="92" t="s">
        <v>111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</row>
    <row r="55" spans="1:19" x14ac:dyDescent="0.25">
      <c r="A55" s="86" t="s">
        <v>112</v>
      </c>
      <c r="B55" s="86"/>
      <c r="C55" s="86"/>
      <c r="D55" s="89">
        <v>939</v>
      </c>
      <c r="E55" s="89">
        <v>414</v>
      </c>
      <c r="F55" s="89">
        <v>449</v>
      </c>
      <c r="H55" s="92" t="s">
        <v>112</v>
      </c>
      <c r="I55" s="92"/>
      <c r="J55" s="92"/>
      <c r="K55" s="95">
        <v>678</v>
      </c>
      <c r="L55" s="95">
        <v>476</v>
      </c>
      <c r="M55" s="95">
        <v>492</v>
      </c>
      <c r="N55" s="95"/>
      <c r="P55" s="95"/>
      <c r="R55" s="95"/>
    </row>
    <row r="56" spans="1:19" x14ac:dyDescent="0.25">
      <c r="A56" s="86" t="s">
        <v>58</v>
      </c>
      <c r="B56" s="86"/>
      <c r="C56" s="86"/>
      <c r="D56" s="90">
        <v>1031</v>
      </c>
      <c r="E56" s="90">
        <v>2063</v>
      </c>
      <c r="F56" s="90">
        <v>213</v>
      </c>
      <c r="H56" s="92" t="s">
        <v>58</v>
      </c>
      <c r="I56" s="92"/>
      <c r="J56" s="92"/>
      <c r="K56" s="96">
        <v>934</v>
      </c>
      <c r="L56" s="96">
        <v>373</v>
      </c>
      <c r="M56" s="96">
        <v>696</v>
      </c>
      <c r="N56" s="96"/>
      <c r="P56" s="96"/>
      <c r="R56" s="96"/>
    </row>
    <row r="57" spans="1:19" x14ac:dyDescent="0.25">
      <c r="A57" s="86" t="s">
        <v>113</v>
      </c>
      <c r="B57" s="86"/>
      <c r="C57" s="86"/>
      <c r="D57" s="90">
        <v>428</v>
      </c>
      <c r="E57" s="90">
        <v>288</v>
      </c>
      <c r="F57" s="90">
        <v>224</v>
      </c>
      <c r="H57" s="92" t="s">
        <v>113</v>
      </c>
      <c r="I57" s="92"/>
      <c r="J57" s="92"/>
      <c r="K57" s="96">
        <v>139</v>
      </c>
      <c r="L57" s="96">
        <v>130</v>
      </c>
      <c r="M57" s="96">
        <v>379</v>
      </c>
      <c r="N57" s="96"/>
      <c r="P57" s="96"/>
      <c r="R57" s="96"/>
    </row>
    <row r="58" spans="1:19" x14ac:dyDescent="0.25">
      <c r="A58" s="86" t="s">
        <v>114</v>
      </c>
      <c r="B58" s="86"/>
      <c r="C58" s="86"/>
      <c r="D58" s="90">
        <v>262</v>
      </c>
      <c r="E58" s="90">
        <v>580</v>
      </c>
      <c r="F58" s="90">
        <v>329</v>
      </c>
      <c r="H58" s="92" t="s">
        <v>114</v>
      </c>
      <c r="I58" s="92"/>
      <c r="J58" s="92"/>
      <c r="K58" s="96">
        <v>212</v>
      </c>
      <c r="L58" s="96">
        <v>246</v>
      </c>
      <c r="M58" s="96">
        <v>464</v>
      </c>
      <c r="N58" s="96"/>
      <c r="P58" s="96"/>
      <c r="R58" s="96"/>
    </row>
    <row r="59" spans="1:19" x14ac:dyDescent="0.25">
      <c r="A59" s="66"/>
      <c r="B59" s="69"/>
      <c r="C59" s="69"/>
      <c r="D59" s="69"/>
    </row>
    <row r="60" spans="1:19" x14ac:dyDescent="0.25">
      <c r="A60" s="67"/>
      <c r="B60" s="67"/>
      <c r="C60" s="67"/>
      <c r="D60" s="67"/>
    </row>
    <row r="61" spans="1:19" x14ac:dyDescent="0.25">
      <c r="A61" s="66"/>
      <c r="B61" s="67"/>
      <c r="C61" s="67"/>
      <c r="D61" s="67"/>
    </row>
    <row r="62" spans="1:19" x14ac:dyDescent="0.25">
      <c r="A62" s="66"/>
      <c r="B62" s="69"/>
      <c r="C62" s="69"/>
      <c r="D62" s="69"/>
    </row>
    <row r="63" spans="1:19" x14ac:dyDescent="0.25">
      <c r="A63" s="66"/>
      <c r="B63" s="67"/>
      <c r="C63" s="67"/>
      <c r="D63" s="67"/>
    </row>
    <row r="64" spans="1:19" x14ac:dyDescent="0.25">
      <c r="A64" s="66"/>
      <c r="B64" s="69"/>
      <c r="C64" s="69"/>
      <c r="D64" s="69"/>
    </row>
    <row r="65" spans="1:4" x14ac:dyDescent="0.25">
      <c r="A65" s="66"/>
      <c r="B65" s="67"/>
      <c r="C65" s="67"/>
      <c r="D65" s="67"/>
    </row>
    <row r="66" spans="1:4" x14ac:dyDescent="0.25">
      <c r="A66" s="66"/>
      <c r="B66" s="68"/>
      <c r="C66" s="68"/>
      <c r="D66" s="68"/>
    </row>
    <row r="67" spans="1:4" x14ac:dyDescent="0.25">
      <c r="A67" s="67"/>
      <c r="B67" s="67"/>
      <c r="C67" s="67"/>
      <c r="D67" s="67"/>
    </row>
    <row r="68" spans="1:4" x14ac:dyDescent="0.25">
      <c r="A68" s="66"/>
      <c r="B68" s="67"/>
      <c r="C68" s="67"/>
      <c r="D68" s="67"/>
    </row>
    <row r="69" spans="1:4" x14ac:dyDescent="0.25">
      <c r="A69" s="66"/>
      <c r="B69" s="68"/>
      <c r="C69" s="68"/>
      <c r="D69" s="68"/>
    </row>
    <row r="70" spans="1:4" x14ac:dyDescent="0.25">
      <c r="A70" s="66"/>
      <c r="B70" s="68"/>
      <c r="C70" s="68"/>
      <c r="D70" s="68"/>
    </row>
  </sheetData>
  <sortState xmlns:xlrd2="http://schemas.microsoft.com/office/spreadsheetml/2017/richdata2" columnSort="1" ref="K2:Q58">
    <sortCondition ref="K2:Q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0.18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1.01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'TGT DCF'!D63</f>
        <v>56966.730312239997</v>
      </c>
      <c r="D12" s="2"/>
      <c r="E12" s="2" t="s">
        <v>33</v>
      </c>
      <c r="F12" s="2"/>
      <c r="G12" s="23">
        <f>'TGT DCF'!D60</f>
        <v>7054</v>
      </c>
      <c r="H12" s="2"/>
      <c r="I12" s="2" t="s">
        <v>45</v>
      </c>
      <c r="J12" s="2"/>
      <c r="K12" s="23">
        <f>G12+C12</f>
        <v>64020.730312239997</v>
      </c>
      <c r="L12" s="2"/>
    </row>
    <row r="13" spans="1:12" x14ac:dyDescent="0.25">
      <c r="A13" s="2" t="s">
        <v>46</v>
      </c>
      <c r="B13" s="2"/>
      <c r="C13" s="46">
        <f>C12/K12</f>
        <v>0.88981693951948937</v>
      </c>
      <c r="D13" s="2"/>
      <c r="E13" s="2" t="s">
        <v>47</v>
      </c>
      <c r="F13" s="2"/>
      <c r="G13" s="47">
        <f>G12/K12</f>
        <v>0.11018306048051063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9.7599999999999992E-2</v>
      </c>
      <c r="D14" s="2"/>
      <c r="E14" s="2" t="s">
        <v>49</v>
      </c>
      <c r="F14" s="2"/>
      <c r="G14" s="47">
        <v>0.04</v>
      </c>
      <c r="H14" s="2"/>
      <c r="I14" s="49" t="s">
        <v>1</v>
      </c>
      <c r="J14" s="50"/>
      <c r="K14" s="51">
        <f>C13*C14+G14*G13*(1-D6)</f>
        <v>9.0460137680862904E-2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TGT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2023-08-28T20:41:51Z</dcterms:modified>
</cp:coreProperties>
</file>