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9BA01E9B-5888-440A-9265-2F66A09D506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ZR" sheetId="1" r:id="rId1"/>
    <sheet name="WACC" sheetId="2" r:id="rId2"/>
    <sheet name="Raw IS" sheetId="3" r:id="rId3"/>
    <sheet name="Raw CF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1" l="1"/>
  <c r="L60" i="1" s="1"/>
  <c r="L63" i="1"/>
  <c r="L64" i="1" s="1"/>
  <c r="H54" i="1"/>
  <c r="D61" i="1"/>
  <c r="D60" i="1"/>
  <c r="D63" i="1"/>
  <c r="J44" i="1"/>
  <c r="K44" i="1"/>
  <c r="L44" i="1"/>
  <c r="M44" i="1"/>
  <c r="N44" i="1"/>
  <c r="O44" i="1"/>
  <c r="P44" i="1"/>
  <c r="Q44" i="1"/>
  <c r="R44" i="1"/>
  <c r="I44" i="1"/>
  <c r="J41" i="1"/>
  <c r="K41" i="1"/>
  <c r="L41" i="1"/>
  <c r="M41" i="1"/>
  <c r="N41" i="1"/>
  <c r="O41" i="1"/>
  <c r="P41" i="1"/>
  <c r="Q41" i="1"/>
  <c r="R41" i="1"/>
  <c r="I41" i="1"/>
  <c r="M20" i="1"/>
  <c r="P20" i="1" s="1"/>
  <c r="Q20" i="1" s="1"/>
  <c r="R20" i="1" s="1"/>
  <c r="J20" i="1"/>
  <c r="H52" i="1"/>
  <c r="I28" i="1"/>
  <c r="H34" i="1"/>
  <c r="J29" i="1"/>
  <c r="K29" i="1"/>
  <c r="L29" i="1"/>
  <c r="M29" i="1"/>
  <c r="N29" i="1"/>
  <c r="O29" i="1"/>
  <c r="P29" i="1"/>
  <c r="Q29" i="1"/>
  <c r="R29" i="1"/>
  <c r="I29" i="1"/>
  <c r="I32" i="1" s="1"/>
  <c r="I25" i="1"/>
  <c r="H25" i="1"/>
  <c r="J22" i="1"/>
  <c r="K22" i="1"/>
  <c r="L22" i="1"/>
  <c r="M22" i="1"/>
  <c r="N22" i="1"/>
  <c r="O22" i="1"/>
  <c r="P22" i="1"/>
  <c r="Q22" i="1"/>
  <c r="R22" i="1"/>
  <c r="I22" i="1"/>
  <c r="D23" i="1"/>
  <c r="E23" i="1"/>
  <c r="F23" i="1"/>
  <c r="G23" i="1"/>
  <c r="H23" i="1"/>
  <c r="C23" i="1"/>
  <c r="G47" i="1"/>
  <c r="H47" i="1"/>
  <c r="F47" i="1"/>
  <c r="D47" i="1"/>
  <c r="E47" i="1"/>
  <c r="C47" i="1"/>
  <c r="G44" i="1"/>
  <c r="H44" i="1"/>
  <c r="F44" i="1"/>
  <c r="D44" i="1"/>
  <c r="E44" i="1"/>
  <c r="C44" i="1"/>
  <c r="G41" i="1"/>
  <c r="H41" i="1"/>
  <c r="F41" i="1"/>
  <c r="D41" i="1"/>
  <c r="E41" i="1"/>
  <c r="C41" i="1"/>
  <c r="G51" i="1"/>
  <c r="H51" i="1"/>
  <c r="F51" i="1"/>
  <c r="G37" i="1"/>
  <c r="H37" i="1"/>
  <c r="F37" i="1"/>
  <c r="D37" i="1"/>
  <c r="E37" i="1"/>
  <c r="C37" i="1"/>
  <c r="G32" i="1"/>
  <c r="H32" i="1"/>
  <c r="F32" i="1"/>
  <c r="D32" i="1"/>
  <c r="E32" i="1"/>
  <c r="E52" i="1" s="1"/>
  <c r="C32" i="1"/>
  <c r="N24" i="3"/>
  <c r="D22" i="1"/>
  <c r="E22" i="1"/>
  <c r="C22" i="1"/>
  <c r="N12" i="3"/>
  <c r="N21" i="3"/>
  <c r="O21" i="3"/>
  <c r="P21" i="3"/>
  <c r="O19" i="3"/>
  <c r="P19" i="3"/>
  <c r="N19" i="3"/>
  <c r="O17" i="3"/>
  <c r="P17" i="3"/>
  <c r="N17" i="3"/>
  <c r="G22" i="1"/>
  <c r="H22" i="1"/>
  <c r="F22" i="1"/>
  <c r="C19" i="1"/>
  <c r="C25" i="1" s="1"/>
  <c r="G19" i="1"/>
  <c r="G25" i="1" s="1"/>
  <c r="H19" i="1"/>
  <c r="F19" i="1"/>
  <c r="F25" i="1" s="1"/>
  <c r="D19" i="1"/>
  <c r="D25" i="1" s="1"/>
  <c r="E19" i="1"/>
  <c r="E25" i="1" s="1"/>
  <c r="G14" i="1"/>
  <c r="H14" i="1"/>
  <c r="F14" i="1"/>
  <c r="D14" i="1"/>
  <c r="E14" i="1"/>
  <c r="C14" i="1"/>
  <c r="G11" i="1"/>
  <c r="G12" i="1" s="1"/>
  <c r="H11" i="1"/>
  <c r="I11" i="1" s="1"/>
  <c r="F11" i="1"/>
  <c r="F16" i="1" s="1"/>
  <c r="F17" i="1" s="1"/>
  <c r="D11" i="1"/>
  <c r="D16" i="1" s="1"/>
  <c r="D17" i="1" s="1"/>
  <c r="E11" i="1"/>
  <c r="E16" i="1" s="1"/>
  <c r="C11" i="1"/>
  <c r="D64" i="1"/>
  <c r="C12" i="2" s="1"/>
  <c r="G12" i="2"/>
  <c r="C14" i="2"/>
  <c r="G45" i="1"/>
  <c r="F12" i="1"/>
  <c r="J9" i="1"/>
  <c r="K9" i="1" s="1"/>
  <c r="L9" i="1" s="1"/>
  <c r="M9" i="1" s="1"/>
  <c r="N9" i="1" s="1"/>
  <c r="O9" i="1" s="1"/>
  <c r="P9" i="1" s="1"/>
  <c r="Q9" i="1" s="1"/>
  <c r="R9" i="1" s="1"/>
  <c r="E45" i="1" l="1"/>
  <c r="G48" i="1"/>
  <c r="G16" i="1"/>
  <c r="C52" i="1"/>
  <c r="D52" i="1"/>
  <c r="E42" i="1"/>
  <c r="F42" i="1"/>
  <c r="G42" i="1"/>
  <c r="F45" i="1"/>
  <c r="E48" i="1"/>
  <c r="F48" i="1"/>
  <c r="D20" i="1"/>
  <c r="F52" i="1"/>
  <c r="G52" i="1"/>
  <c r="I16" i="1"/>
  <c r="I14" i="1" s="1"/>
  <c r="J11" i="1"/>
  <c r="H20" i="1"/>
  <c r="C48" i="1"/>
  <c r="H45" i="1"/>
  <c r="D12" i="1"/>
  <c r="G20" i="1"/>
  <c r="E20" i="1"/>
  <c r="C20" i="1"/>
  <c r="F28" i="1"/>
  <c r="F29" i="1" s="1"/>
  <c r="F30" i="1" s="1"/>
  <c r="D28" i="1"/>
  <c r="D29" i="1" s="1"/>
  <c r="D30" i="1" s="1"/>
  <c r="H42" i="1"/>
  <c r="C45" i="1"/>
  <c r="D48" i="1"/>
  <c r="H48" i="1"/>
  <c r="D42" i="1"/>
  <c r="H12" i="1"/>
  <c r="G28" i="1"/>
  <c r="G29" i="1" s="1"/>
  <c r="G30" i="1" s="1"/>
  <c r="E28" i="1"/>
  <c r="E29" i="1" s="1"/>
  <c r="E30" i="1" s="1"/>
  <c r="C16" i="1"/>
  <c r="H16" i="1"/>
  <c r="H17" i="1" s="1"/>
  <c r="E12" i="1"/>
  <c r="D45" i="1"/>
  <c r="C42" i="1"/>
  <c r="F20" i="1"/>
  <c r="C26" i="1"/>
  <c r="E26" i="1"/>
  <c r="G26" i="1"/>
  <c r="K12" i="2"/>
  <c r="G13" i="2" s="1"/>
  <c r="C17" i="1"/>
  <c r="E17" i="1"/>
  <c r="G17" i="1"/>
  <c r="D26" i="1"/>
  <c r="F26" i="1"/>
  <c r="H26" i="1"/>
  <c r="K11" i="1" l="1"/>
  <c r="G34" i="1"/>
  <c r="G50" i="1" s="1"/>
  <c r="G54" i="1" s="1"/>
  <c r="H28" i="1"/>
  <c r="H29" i="1" s="1"/>
  <c r="H30" i="1" s="1"/>
  <c r="E34" i="1"/>
  <c r="C28" i="1"/>
  <c r="C34" i="1" s="1"/>
  <c r="C50" i="1" s="1"/>
  <c r="C13" i="2"/>
  <c r="K14" i="2" s="1"/>
  <c r="E5" i="1" s="1"/>
  <c r="F34" i="1"/>
  <c r="D34" i="1"/>
  <c r="G35" i="1"/>
  <c r="E35" i="1"/>
  <c r="G38" i="1" l="1"/>
  <c r="L11" i="1"/>
  <c r="F38" i="1"/>
  <c r="F50" i="1"/>
  <c r="D50" i="1"/>
  <c r="D54" i="1" s="1"/>
  <c r="E38" i="1"/>
  <c r="E50" i="1"/>
  <c r="E54" i="1" s="1"/>
  <c r="C29" i="1"/>
  <c r="C30" i="1" s="1"/>
  <c r="F54" i="1"/>
  <c r="D35" i="1"/>
  <c r="D38" i="1"/>
  <c r="F35" i="1"/>
  <c r="H35" i="1"/>
  <c r="M11" i="1" l="1"/>
  <c r="H50" i="1"/>
  <c r="H38" i="1"/>
  <c r="C54" i="1"/>
  <c r="C35" i="1"/>
  <c r="C38" i="1"/>
  <c r="I47" i="1"/>
  <c r="N11" i="1" l="1"/>
  <c r="I19" i="1"/>
  <c r="O11" i="1" l="1"/>
  <c r="P11" i="1" l="1"/>
  <c r="I34" i="1"/>
  <c r="Q11" i="1" l="1"/>
  <c r="I35" i="1"/>
  <c r="I37" i="1"/>
  <c r="I52" i="1" l="1"/>
  <c r="I50" i="1"/>
  <c r="I54" i="1" s="1"/>
  <c r="I55" i="1" s="1"/>
  <c r="R11" i="1"/>
  <c r="J19" i="1" l="1"/>
  <c r="J25" i="1" s="1"/>
  <c r="J28" i="1" s="1"/>
  <c r="J32" i="1" s="1"/>
  <c r="J47" i="1"/>
  <c r="K19" i="1" l="1"/>
  <c r="K25" i="1" s="1"/>
  <c r="K28" i="1" s="1"/>
  <c r="K32" i="1" s="1"/>
  <c r="K47" i="1"/>
  <c r="L47" i="1" l="1"/>
  <c r="L19" i="1"/>
  <c r="L25" i="1" s="1"/>
  <c r="L28" i="1" s="1"/>
  <c r="L32" i="1" s="1"/>
  <c r="M47" i="1" l="1"/>
  <c r="M19" i="1"/>
  <c r="M25" i="1" s="1"/>
  <c r="M28" i="1" s="1"/>
  <c r="M32" i="1" s="1"/>
  <c r="N47" i="1" l="1"/>
  <c r="N19" i="1"/>
  <c r="N25" i="1" s="1"/>
  <c r="N28" i="1" s="1"/>
  <c r="N32" i="1" s="1"/>
  <c r="O19" i="1" l="1"/>
  <c r="O25" i="1" s="1"/>
  <c r="O28" i="1" s="1"/>
  <c r="O32" i="1" s="1"/>
  <c r="O47" i="1"/>
  <c r="P19" i="1" l="1"/>
  <c r="P25" i="1" s="1"/>
  <c r="P28" i="1" s="1"/>
  <c r="P32" i="1" s="1"/>
  <c r="P47" i="1"/>
  <c r="Q19" i="1" l="1"/>
  <c r="Q25" i="1" s="1"/>
  <c r="Q28" i="1" s="1"/>
  <c r="Q32" i="1" s="1"/>
  <c r="Q47" i="1"/>
  <c r="R19" i="1" l="1"/>
  <c r="R25" i="1" s="1"/>
  <c r="R28" i="1" s="1"/>
  <c r="R32" i="1" s="1"/>
  <c r="R47" i="1"/>
  <c r="L16" i="1"/>
  <c r="L14" i="1" s="1"/>
  <c r="K16" i="1"/>
  <c r="K14" i="1" s="1"/>
  <c r="J16" i="1"/>
  <c r="J14" i="1" s="1"/>
  <c r="Q16" i="1"/>
  <c r="O16" i="1"/>
  <c r="P16" i="1"/>
  <c r="P14" i="1" s="1"/>
  <c r="N16" i="1"/>
  <c r="N14" i="1" s="1"/>
  <c r="M16" i="1"/>
  <c r="R16" i="1"/>
  <c r="R14" i="1" s="1"/>
  <c r="M14" i="1" l="1"/>
  <c r="Q14" i="1"/>
  <c r="O14" i="1"/>
  <c r="M34" i="1"/>
  <c r="M35" i="1" s="1"/>
  <c r="J34" i="1"/>
  <c r="Q34" i="1"/>
  <c r="M37" i="1" l="1"/>
  <c r="O34" i="1"/>
  <c r="O35" i="1" s="1"/>
  <c r="P34" i="1"/>
  <c r="P35" i="1" s="1"/>
  <c r="L34" i="1"/>
  <c r="L37" i="1" s="1"/>
  <c r="Q35" i="1"/>
  <c r="Q37" i="1"/>
  <c r="R34" i="1"/>
  <c r="K34" i="1"/>
  <c r="J35" i="1"/>
  <c r="J37" i="1"/>
  <c r="J52" i="1" s="1"/>
  <c r="N34" i="1"/>
  <c r="P37" i="1" l="1"/>
  <c r="L35" i="1"/>
  <c r="P52" i="1"/>
  <c r="P50" i="1"/>
  <c r="P54" i="1" s="1"/>
  <c r="P55" i="1" s="1"/>
  <c r="L52" i="1"/>
  <c r="L50" i="1"/>
  <c r="J50" i="1"/>
  <c r="J54" i="1" s="1"/>
  <c r="J55" i="1" s="1"/>
  <c r="Q50" i="1"/>
  <c r="Q54" i="1" s="1"/>
  <c r="Q55" i="1" s="1"/>
  <c r="Q52" i="1"/>
  <c r="M50" i="1"/>
  <c r="M54" i="1" s="1"/>
  <c r="M55" i="1" s="1"/>
  <c r="M52" i="1"/>
  <c r="O37" i="1"/>
  <c r="L54" i="1"/>
  <c r="L55" i="1" s="1"/>
  <c r="N37" i="1"/>
  <c r="N35" i="1"/>
  <c r="K37" i="1"/>
  <c r="K35" i="1"/>
  <c r="R37" i="1"/>
  <c r="R35" i="1"/>
  <c r="R52" i="1" l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R50" i="1"/>
  <c r="R54" i="1" s="1"/>
  <c r="K50" i="1"/>
  <c r="K54" i="1" s="1"/>
  <c r="K55" i="1" s="1"/>
  <c r="K52" i="1"/>
  <c r="N52" i="1"/>
  <c r="N50" i="1"/>
  <c r="N54" i="1" s="1"/>
  <c r="N55" i="1" s="1"/>
  <c r="O50" i="1"/>
  <c r="O52" i="1"/>
  <c r="O54" i="1"/>
  <c r="O55" i="1" s="1"/>
  <c r="C57" i="1" l="1"/>
  <c r="C58" i="1" s="1"/>
  <c r="R55" i="1"/>
  <c r="F57" i="1"/>
  <c r="H60" i="1" s="1"/>
  <c r="H62" i="1" s="1"/>
  <c r="H65" i="1" s="1"/>
  <c r="G60" i="1" l="1"/>
  <c r="G62" i="1" s="1"/>
  <c r="O26" i="1"/>
  <c r="J26" i="1"/>
  <c r="L26" i="1"/>
  <c r="N26" i="1"/>
  <c r="P26" i="1"/>
  <c r="I26" i="1"/>
  <c r="K26" i="1"/>
  <c r="M26" i="1"/>
  <c r="Q26" i="1"/>
  <c r="R26" i="1"/>
  <c r="G65" i="1" l="1"/>
  <c r="E65" i="1" s="1"/>
  <c r="J6" i="1" l="1"/>
  <c r="L59" i="1"/>
  <c r="N5" i="1"/>
</calcChain>
</file>

<file path=xl/sharedStrings.xml><?xml version="1.0" encoding="utf-8"?>
<sst xmlns="http://schemas.openxmlformats.org/spreadsheetml/2006/main" count="301" uniqueCount="198">
  <si>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</si>
  <si>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</si>
  <si>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</si>
  <si>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</si>
  <si>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</si>
  <si>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</si>
  <si>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</si>
  <si>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</si>
  <si>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</si>
  <si>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</si>
  <si>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</si>
  <si>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</si>
  <si>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</si>
  <si>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</si>
  <si>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</si>
  <si>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</si>
  <si>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</si>
  <si>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</si>
  <si>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</si>
  <si>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</si>
  <si>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</si>
  <si>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</si>
  <si>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</si>
  <si>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</si>
  <si>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</si>
  <si>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</si>
  <si>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</si>
  <si>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</si>
  <si>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</si>
  <si>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</si>
  <si>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</si>
  <si>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</si>
  <si>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</si>
  <si>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</si>
  <si>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</si>
  <si>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</si>
  <si>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</si>
  <si>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</si>
  <si>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</si>
  <si>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</si>
  <si>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</si>
  <si>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</si>
  <si>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</si>
  <si>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</si>
  <si>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</si>
  <si>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</si>
  <si>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</si>
  <si>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</si>
  <si>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</si>
  <si>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</si>
  <si>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</si>
  <si>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 xml:space="preserve">                                             Terminal Growth Rate</t>
  </si>
  <si>
    <t>CONSOLIDATED STATEMENTS OF OPERATIONS</t>
  </si>
  <si>
    <t>Years Ended December 31,</t>
  </si>
  <si>
    <t>(In millions, except per share data)</t>
  </si>
  <si>
    <t>2020</t>
  </si>
  <si>
    <t>2021</t>
  </si>
  <si>
    <t>2022</t>
  </si>
  <si>
    <t>REVENUES:</t>
  </si>
  <si>
    <t>Casino</t>
  </si>
  <si>
    <t>Food and beverage</t>
  </si>
  <si>
    <t>Hotel</t>
  </si>
  <si>
    <t>Other</t>
  </si>
  <si>
    <t>Net revenues</t>
  </si>
  <si>
    <t>EXPENSES:</t>
  </si>
  <si>
    <t>General and administrative</t>
  </si>
  <si>
    <t>Corporate</t>
  </si>
  <si>
    <t>Impairment charges</t>
  </si>
  <si>
    <t>Depreciation and amortization</t>
  </si>
  <si>
    <t>Transaction and other costs</t>
  </si>
  <si>
    <t>Total operating expenses</t>
  </si>
  <si>
    <t>Operating income (loss)</t>
  </si>
  <si>
    <t>OTHER EXPENSE:</t>
  </si>
  <si>
    <t>Interest expense, net</t>
  </si>
  <si>
    <t>Loss on extinguishment of debt</t>
  </si>
  <si>
    <t>Other income (loss)</t>
  </si>
  <si>
    <t>Total other expense</t>
  </si>
  <si>
    <t>Loss from continuing operations before income taxes</t>
  </si>
  <si>
    <t>Benefit (provision) for income taxes</t>
  </si>
  <si>
    <t>Loss from continuing operations, net of income taxes</t>
  </si>
  <si>
    <t>Discontinued operations, net of income taxes</t>
  </si>
  <si>
    <t>Net loss</t>
  </si>
  <si>
    <t>Net (income) loss attributable to noncontrolling interests</t>
  </si>
  <si>
    <t>Net loss attributable to Caesars</t>
  </si>
  <si>
    <t>Net loss per share - basic and diluted:</t>
  </si>
  <si>
    <t>Basic loss per share from continuing operations</t>
  </si>
  <si>
    <t>Basic loss per share from discontinued operations</t>
  </si>
  <si>
    <t>Basic loss per share</t>
  </si>
  <si>
    <t>Diluted loss per share from continuing operations</t>
  </si>
  <si>
    <t>Diluted loss per share from discontinued operations</t>
  </si>
  <si>
    <t>Diluted loss per share</t>
  </si>
  <si>
    <t>Weighted average basic shares outstanding</t>
  </si>
  <si>
    <t>Weighted average diluted shares outstanding</t>
  </si>
  <si>
    <t>CONSOLIDATED STATEMENTS OF CASH FLOWS</t>
  </si>
  <si>
    <t>(In millions)</t>
  </si>
  <si>
    <t>CASH FLOWS FROM OPERATING ACTIVITIES:</t>
  </si>
  <si>
    <t>Adjustments to reconcile net loss to net cash provided by operating activities:</t>
  </si>
  <si>
    <t>Loss from discontinued operations</t>
  </si>
  <si>
    <t>Amortization of deferred financing costs and discounts</t>
  </si>
  <si>
    <t>Provision for doubtful accounts</t>
  </si>
  <si>
    <t>Deferred revenue</t>
  </si>
  <si>
    <t>Non-cash lease amortization</t>
  </si>
  <si>
    <t>(Gain) loss on investments</t>
  </si>
  <si>
    <t>Stock compensation expense</t>
  </si>
  <si>
    <t>(Gain) loss on sale of businesses and disposal of property and equipment</t>
  </si>
  <si>
    <t>(Benefit) provision for deferred income taxes</t>
  </si>
  <si>
    <t>(Gain) loss on derivatives</t>
  </si>
  <si>
    <t>Foreign currency transaction gain</t>
  </si>
  <si>
    <t>—</t>
  </si>
  <si>
    <t>Other non-cash adjustments to net loss</t>
  </si>
  <si>
    <t>Change in operating assets and liabilities:</t>
  </si>
  <si>
    <t>Accounts receivable</t>
  </si>
  <si>
    <t>Prepaid expenses and other assets</t>
  </si>
  <si>
    <t>Income taxes (receivable) payable</t>
  </si>
  <si>
    <t>Accounts payable, accrued expenses and other liabilities</t>
  </si>
  <si>
    <t>Net cash provided by (used in) operating activities</t>
  </si>
  <si>
    <t>CASH FLOWS FROM INVESTING ACTIVITIES:</t>
  </si>
  <si>
    <t>Purchase of property and equipment, net</t>
  </si>
  <si>
    <t>Former Caesars acquisition, net of cash acquired</t>
  </si>
  <si>
    <t>Acquisition of William Hill, net of cash acquired</t>
  </si>
  <si>
    <t>Purchase of additional interest in Horseshoe Baltimore, net of cash consolidated</t>
  </si>
  <si>
    <t>Acquisition of gaming rights and trademarks</t>
  </si>
  <si>
    <t>Proceeds from sale of businesses, property and equipment, net of cash sold</t>
  </si>
  <si>
    <t>Proceeds from the sale of investments</t>
  </si>
  <si>
    <t>Proceeds from insurance related to property damage</t>
  </si>
  <si>
    <t>Investments in unconsolidated affiliates</t>
  </si>
  <si>
    <t>Net cash used in investing activities</t>
  </si>
  <si>
    <t>CASH FLOWS FROM FINANCING ACTIVITIES:</t>
  </si>
  <si>
    <t>Proceeds from long-term debt and revolving credit facilities</t>
  </si>
  <si>
    <t>Repayments of long-term debt and revolving credit facilities</t>
  </si>
  <si>
    <t>Proceeds from sale-leaseback financing arrangement</t>
  </si>
  <si>
    <t>Financing obligation payments</t>
  </si>
  <si>
    <t>Debt issuance and extinguishment costs</t>
  </si>
  <si>
    <t>Proceeds from issuance of common stock</t>
  </si>
  <si>
    <t>Cash paid to settle convertible notes</t>
  </si>
  <si>
    <t>Taxes paid related to net share settlement of equity awards</t>
  </si>
  <si>
    <t>Distributions to noncontrolling interest</t>
  </si>
  <si>
    <t>Net cash provided by (used in) financing activities</t>
  </si>
  <si>
    <t>CONSOLIDATED STATEMENTS OF INCOME</t>
  </si>
  <si>
    <t>2017</t>
  </si>
  <si>
    <t>2018</t>
  </si>
  <si>
    <t>2019</t>
  </si>
  <si>
    <t>Casino and pari-mutuel commissions</t>
  </si>
  <si>
    <t>Marketing and promotions</t>
  </si>
  <si>
    <t>Gain (loss) on sale of businesses and disposal of property and equipment</t>
  </si>
  <si>
    <t>Proceeds from terminated sales</t>
  </si>
  <si>
    <t>Transaction expenses</t>
  </si>
  <si>
    <t>Loss from unconsolidated affiliates</t>
  </si>
  <si>
    <t>Loss on early retirement of debt, net</t>
  </si>
  <si>
    <t>Unrealized gain (loss) on restricted investment</t>
  </si>
  <si>
    <t>Net income (loss) before income taxes</t>
  </si>
  <si>
    <t>(Provision) benefit for income taxes</t>
  </si>
  <si>
    <t>Net income per share of common stock:</t>
  </si>
  <si>
    <t>Basic</t>
  </si>
  <si>
    <t>Diluted</t>
  </si>
  <si>
    <t>Year Ended December 31,</t>
  </si>
  <si>
    <t>Adjustments to reconcile net income to net cash provided by operating
   activities:</t>
  </si>
  <si>
    <t>Amortization of deferred financing costs, discount and debt premium</t>
  </si>
  <si>
    <t>Equity in loss of unconsolidated affiliates</t>
  </si>
  <si>
    <t>Loss on early retirement of debt</t>
  </si>
  <si>
    <t>Lease amortization</t>
  </si>
  <si>
    <t>Unrealized (gain) loss on restricted investment</t>
  </si>
  <si>
    <t>Loss (gain) on sale of businesses and disposal of property and equipment</t>
  </si>
  <si>
    <t>Accounts payable and accrued other liabilities</t>
  </si>
  <si>
    <t>Net cash provided by operating activities</t>
  </si>
  <si>
    <t>Purchase of restricted investments</t>
  </si>
  <si>
    <t>Proceeds from sale of investments</t>
  </si>
  <si>
    <t>Net cash used in business combinations</t>
  </si>
  <si>
    <t>Investments in and loans to unconsolidated affiliates</t>
  </si>
  <si>
    <t>Net cash provided by (used in) investing activities</t>
  </si>
  <si>
    <t>Proceeds from issuance of long-term debt</t>
  </si>
  <si>
    <t>Borrowings under Revolving Credit Facility</t>
  </si>
  <si>
    <t>Payments under long-term debt</t>
  </si>
  <si>
    <t>Payments under Revolving Credit Facility</t>
  </si>
  <si>
    <t>Payments on Term Loan</t>
  </si>
  <si>
    <t>Debt premium proceeds</t>
  </si>
  <si>
    <t>Debt issuance costs</t>
  </si>
  <si>
    <t>Proceeds from exercise of stock options</t>
  </si>
  <si>
    <t>Purchase of treasury stock</t>
  </si>
  <si>
    <t>Payments on other long-term payables</t>
  </si>
  <si>
    <t>Net cash (used in) provided by financing activities</t>
  </si>
  <si>
    <t>(Decrease) increase in cash, cash equivalents and restricted cash</t>
  </si>
  <si>
    <t>Cash, cash equivalents and restricted cash, beginning of period</t>
  </si>
  <si>
    <t>Cash, cash equivalents and restricted cash, end of period</t>
  </si>
  <si>
    <t>RECONCILIATION OF CASH, CASH EQUIVALENTS AND RESTRICTED CASH TO
   AMOUNTS REPORTED WITHIN THE CONSOLIDATED BALANCE SHEETS:</t>
  </si>
  <si>
    <t>Cash and cash equivalents</t>
  </si>
  <si>
    <t>Restricted cash</t>
  </si>
  <si>
    <t>Restricted cash included in other noncurrent assets</t>
  </si>
  <si>
    <t>Total cash, cash equivalents and restricted cash</t>
  </si>
  <si>
    <t>SUPPLEMENTAL DISCLOSURE OF CASH FLOW INFORMATION:</t>
  </si>
  <si>
    <t>Interest paid</t>
  </si>
  <si>
    <t>Income taxes (refunded) paid</t>
  </si>
  <si>
    <t>NON-CASH FINANCING ACTIVITIES:</t>
  </si>
  <si>
    <t>Payables for capital expenditures</t>
  </si>
  <si>
    <t>G&amp;A</t>
  </si>
  <si>
    <t>Other income</t>
  </si>
  <si>
    <t>Update: 08/06/2023</t>
  </si>
  <si>
    <t>Caesars Entertainment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</si>
</sst>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1" fontId="3" fillId="2" borderId="12" xfId="0" applyNumberFormat="1" applyFont="1" applyFill="1" applyBorder="1"/>
    <xf numFmtId="0" fontId="3" fillId="2" borderId="13" xfId="0" applyFont="1" applyFill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1" fontId="3" fillId="2" borderId="0" xfId="1" applyNumberFormat="1" applyFont="1" applyFill="1"/>
    <xf numFmtId="3" fontId="3" fillId="2" borderId="5" xfId="0" applyNumberFormat="1" applyFont="1" applyFill="1" applyBorder="1"/>
    <xf numFmtId="164" fontId="0" fillId="2" borderId="3" xfId="1" applyNumberFormat="1" applyFont="1" applyFill="1" applyBorder="1"/>
    <xf numFmtId="0" fontId="0" fillId="2" borderId="3" xfId="1" applyNumberFormat="1" applyFont="1" applyFill="1" applyBorder="1"/>
    <xf numFmtId="1" fontId="0" fillId="2" borderId="3" xfId="1" applyNumberFormat="1" applyFont="1" applyFill="1" applyBorder="1"/>
    <xf numFmtId="4" fontId="3" fillId="2" borderId="1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" fontId="0" fillId="2" borderId="0" xfId="1" applyNumberFormat="1" applyFont="1" applyFill="1" applyBorder="1"/>
    <xf numFmtId="0" fontId="2" fillId="4" borderId="0" xfId="0" applyFont="1" applyFill="1" applyBorder="1"/>
    <xf numFmtId="1" fontId="0" fillId="2" borderId="0" xfId="0" applyNumberFormat="1" applyFont="1" applyFill="1" applyBorder="1"/>
    <xf numFmtId="164" fontId="10" fillId="2" borderId="0" xfId="1" applyNumberFormat="1" applyFont="1" applyFill="1" applyBorder="1"/>
    <xf numFmtId="0" fontId="0" fillId="2" borderId="0" xfId="0" applyFont="1" applyFill="1" applyBorder="1"/>
    <xf numFmtId="10" fontId="0" fillId="2" borderId="0" xfId="0" applyNumberFormat="1" applyFont="1" applyFill="1" applyBorder="1"/>
    <xf numFmtId="3" fontId="0" fillId="2" borderId="0" xfId="0" applyNumberFormat="1" applyFont="1" applyFill="1" applyBorder="1"/>
    <xf numFmtId="164" fontId="0" fillId="2" borderId="0" xfId="1" applyNumberFormat="1" applyFont="1" applyFill="1" applyBorder="1"/>
    <xf numFmtId="0" fontId="2" fillId="3" borderId="0" xfId="0" applyFont="1" applyFill="1" applyBorder="1"/>
    <xf numFmtId="3" fontId="0" fillId="0" borderId="0" xfId="0" applyNumberFormat="1" applyFont="1" applyBorder="1"/>
    <xf numFmtId="164" fontId="0" fillId="8" borderId="0" xfId="0" applyNumberFormat="1" applyFill="1" applyAlignment="1">
      <alignment horizontal="center"/>
    </xf>
    <xf numFmtId="0" fontId="2" fillId="4" borderId="3" xfId="0" applyFont="1" applyFill="1" applyBorder="1"/>
    <xf numFmtId="1" fontId="0" fillId="2" borderId="3" xfId="0" applyNumberFormat="1" applyFont="1" applyFill="1" applyBorder="1"/>
    <xf numFmtId="164" fontId="10" fillId="2" borderId="3" xfId="1" applyNumberFormat="1" applyFont="1" applyFill="1" applyBorder="1"/>
    <xf numFmtId="0" fontId="0" fillId="2" borderId="3" xfId="0" applyFont="1" applyFill="1" applyBorder="1"/>
    <xf numFmtId="3" fontId="0" fillId="2" borderId="3" xfId="0" applyNumberFormat="1" applyFont="1" applyFill="1" applyBorder="1"/>
    <xf numFmtId="0" fontId="2" fillId="3" borderId="3" xfId="0" applyFont="1" applyFill="1" applyBorder="1"/>
    <xf numFmtId="3" fontId="0" fillId="0" borderId="3" xfId="0" applyNumberFormat="1" applyFont="1" applyBorder="1"/>
    <xf numFmtId="1" fontId="0" fillId="2" borderId="14" xfId="0" applyNumberFormat="1" applyFont="1" applyFill="1" applyBorder="1"/>
    <xf numFmtId="1" fontId="0" fillId="2" borderId="1" xfId="0" applyNumberFormat="1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10" fillId="11" borderId="3" xfId="1" applyNumberFormat="1" applyFont="1" applyFill="1" applyBorder="1"/>
    <xf numFmtId="164" fontId="10" fillId="11" borderId="0" xfId="1" applyNumberFormat="1" applyFont="1" applyFill="1" applyBorder="1"/>
    <xf numFmtId="10" fontId="10" fillId="11" borderId="3" xfId="0" applyNumberFormat="1" applyFont="1" applyFill="1" applyBorder="1"/>
    <xf numFmtId="10" fontId="10" fillId="11" borderId="0" xfId="0" applyNumberFormat="1" applyFont="1" applyFill="1" applyBorder="1"/>
    <xf numFmtId="10" fontId="10" fillId="11" borderId="3" xfId="1" applyNumberFormat="1" applyFont="1" applyFill="1" applyBorder="1"/>
    <xf numFmtId="10" fontId="10" fillId="11" borderId="0" xfId="1" applyNumberFormat="1" applyFont="1" applyFill="1" applyBorder="1"/>
    <xf numFmtId="9" fontId="0" fillId="11" borderId="3" xfId="0" applyNumberFormat="1" applyFont="1" applyFill="1" applyBorder="1"/>
    <xf numFmtId="9" fontId="0" fillId="11" borderId="0" xfId="0" applyNumberFormat="1" applyFont="1" applyFill="1" applyBorder="1"/>
    <xf numFmtId="164" fontId="3" fillId="11" borderId="0" xfId="1" applyNumberFormat="1" applyFont="1" applyFill="1"/>
    <xf numFmtId="164" fontId="10" fillId="11" borderId="3" xfId="0" applyNumberFormat="1" applyFont="1" applyFill="1" applyBorder="1"/>
    <xf numFmtId="164" fontId="10" fillId="11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E8" sqref="E8"/>
    </sheetView>
  </sheetViews>
  <sheetFormatPr defaultRowHeight="15" x14ac:dyDescent="0.25"/>
  <cols>
    <col min="1" max="1" width="9.140625" style="2"/>
    <col min="2" max="2" width="17.28515625" style="2" customWidth="1"/>
    <col min="3" max="3" width="10.85546875" style="2" bestFit="1" customWidth="1"/>
    <col min="4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85546875" style="2" bestFit="1" customWidth="1"/>
    <col min="11" max="11" width="9.42578125" style="2" customWidth="1"/>
    <col min="12" max="12" width="10.85546875" style="2" bestFit="1" customWidth="1"/>
    <col min="13" max="15" width="11.7109375" style="2" bestFit="1" customWidth="1"/>
    <col min="16" max="17" width="12.7109375" style="2" bestFit="1" customWidth="1"/>
    <col min="18" max="18" width="10.85546875" style="2" bestFit="1" customWidth="1"/>
    <col min="19" max="16384" width="9.140625" style="2"/>
  </cols>
  <sheetData>
    <row r="1" spans="1:18" s="50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0" customFormat="1" ht="23.25" x14ac:dyDescent="0.35">
      <c r="A2" s="3"/>
      <c r="B2" s="4" t="s">
        <v>197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18" s="50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0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0" customFormat="1" x14ac:dyDescent="0.25">
      <c r="A5" s="1"/>
      <c r="B5" s="1"/>
      <c r="C5" s="7" t="s">
        <v>1</v>
      </c>
      <c r="D5" s="1"/>
      <c r="E5" s="8">
        <f>WACC!K14-2%</f>
        <v>0.13631082988582099</v>
      </c>
      <c r="F5" s="2"/>
      <c r="G5" s="1"/>
      <c r="H5" s="1" t="s">
        <v>2</v>
      </c>
      <c r="I5" s="1"/>
      <c r="J5" s="7">
        <v>48.44</v>
      </c>
      <c r="K5" s="1"/>
      <c r="L5" s="1" t="s">
        <v>3</v>
      </c>
      <c r="M5" s="1"/>
      <c r="N5" s="7">
        <f>(J6/J5)-1</f>
        <v>0.25617329230113528</v>
      </c>
      <c r="O5" s="1"/>
      <c r="P5" s="1" t="s">
        <v>196</v>
      </c>
      <c r="Q5" s="1"/>
      <c r="R5" s="2"/>
    </row>
    <row r="6" spans="1:18" s="50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58">
        <f>H65*0.66+G65*0.33</f>
        <v>60.849034279066991</v>
      </c>
      <c r="K6" s="1"/>
      <c r="L6" s="1"/>
      <c r="M6" s="1"/>
      <c r="N6" s="1"/>
      <c r="O6" s="1"/>
      <c r="P6" s="1"/>
      <c r="Q6" s="1"/>
      <c r="R6" s="2"/>
    </row>
    <row r="7" spans="1:18" s="50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0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0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0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83">
        <v>2023</v>
      </c>
      <c r="J10" s="73">
        <v>2024</v>
      </c>
      <c r="K10" s="73">
        <v>2025</v>
      </c>
      <c r="L10" s="73">
        <v>2026</v>
      </c>
      <c r="M10" s="73">
        <v>2027</v>
      </c>
      <c r="N10" s="73">
        <v>2028</v>
      </c>
      <c r="O10" s="73">
        <v>2029</v>
      </c>
      <c r="P10" s="73">
        <v>2030</v>
      </c>
      <c r="Q10" s="73">
        <v>2031</v>
      </c>
      <c r="R10" s="73">
        <v>2032</v>
      </c>
    </row>
    <row r="11" spans="1:18" s="50" customFormat="1" x14ac:dyDescent="0.25">
      <c r="A11" s="1"/>
      <c r="B11" s="1" t="s">
        <v>7</v>
      </c>
      <c r="C11" s="11">
        <f>'Raw IS'!J10/1000</f>
        <v>1480.798</v>
      </c>
      <c r="D11" s="11">
        <f>'Raw IS'!K10/1000</f>
        <v>2056.0070000000001</v>
      </c>
      <c r="E11" s="11">
        <f>'Raw IS'!L10/1000</f>
        <v>2528.2489999999998</v>
      </c>
      <c r="F11" s="11">
        <f>'Raw IS'!D11</f>
        <v>3628</v>
      </c>
      <c r="G11" s="11">
        <f>'Raw IS'!E11</f>
        <v>9570</v>
      </c>
      <c r="H11" s="11">
        <f>'Raw IS'!F11</f>
        <v>10821</v>
      </c>
      <c r="I11" s="84">
        <f>H11*(1+I12)</f>
        <v>11620</v>
      </c>
      <c r="J11" s="74">
        <f t="shared" ref="J11:R11" si="1">I11*(1+J12)</f>
        <v>12040</v>
      </c>
      <c r="K11" s="74">
        <f t="shared" si="1"/>
        <v>12420</v>
      </c>
      <c r="L11" s="74">
        <f t="shared" si="1"/>
        <v>13399.999999999998</v>
      </c>
      <c r="M11" s="74">
        <f t="shared" si="1"/>
        <v>14019.999999999998</v>
      </c>
      <c r="N11" s="74">
        <f t="shared" si="1"/>
        <v>14590</v>
      </c>
      <c r="O11" s="74">
        <f t="shared" si="1"/>
        <v>15149.999999999998</v>
      </c>
      <c r="P11" s="74">
        <f t="shared" si="1"/>
        <v>15700</v>
      </c>
      <c r="Q11" s="74">
        <f t="shared" si="1"/>
        <v>16260</v>
      </c>
      <c r="R11" s="74">
        <f t="shared" si="1"/>
        <v>16830</v>
      </c>
    </row>
    <row r="12" spans="1:18" s="50" customFormat="1" x14ac:dyDescent="0.25">
      <c r="A12" s="1"/>
      <c r="B12" s="92" t="s">
        <v>8</v>
      </c>
      <c r="C12" s="93"/>
      <c r="D12" s="93">
        <f>(D11/C11)-1</f>
        <v>0.38844528423188041</v>
      </c>
      <c r="E12" s="93">
        <f>(E11/D11)-1</f>
        <v>0.22968890670119291</v>
      </c>
      <c r="F12" s="93">
        <f>(F11/E11)-1</f>
        <v>0.43498524077335743</v>
      </c>
      <c r="G12" s="93">
        <f>(G11/F11)-1</f>
        <v>1.6378169790518191</v>
      </c>
      <c r="H12" s="93">
        <f>(H11/G11)-1</f>
        <v>0.13072100313479629</v>
      </c>
      <c r="I12" s="94">
        <v>7.3837907771924893E-2</v>
      </c>
      <c r="J12" s="95">
        <v>3.6144578313253017E-2</v>
      </c>
      <c r="K12" s="95">
        <v>3.1561461794019863E-2</v>
      </c>
      <c r="L12" s="95">
        <v>7.8904991948470116E-2</v>
      </c>
      <c r="M12" s="95">
        <v>4.6268656716417889E-2</v>
      </c>
      <c r="N12" s="95">
        <v>4.0656205420827485E-2</v>
      </c>
      <c r="O12" s="95">
        <v>3.838245373543514E-2</v>
      </c>
      <c r="P12" s="95">
        <v>3.630363036303641E-2</v>
      </c>
      <c r="Q12" s="95">
        <v>3.566878980891719E-2</v>
      </c>
      <c r="R12" s="95">
        <v>3.5055350553505615E-2</v>
      </c>
    </row>
    <row r="13" spans="1:18" s="50" customFormat="1" x14ac:dyDescent="0.25">
      <c r="A13" s="1"/>
      <c r="B13" s="6"/>
      <c r="C13" s="1"/>
      <c r="D13" s="1"/>
      <c r="E13" s="1"/>
      <c r="F13" s="1"/>
      <c r="G13" s="1"/>
      <c r="H13" s="1"/>
      <c r="I13" s="86"/>
      <c r="J13" s="77"/>
      <c r="K13" s="77"/>
      <c r="L13" s="77"/>
      <c r="M13" s="77"/>
      <c r="N13" s="77"/>
      <c r="O13" s="77"/>
      <c r="P13" s="77"/>
      <c r="Q13" s="77"/>
      <c r="R13" s="77"/>
    </row>
    <row r="14" spans="1:18" s="50" customFormat="1" x14ac:dyDescent="0.25">
      <c r="A14" s="1"/>
      <c r="B14" s="1" t="s">
        <v>9</v>
      </c>
      <c r="C14" s="11">
        <f>SUM('Raw IS'!J12:J15)/1000</f>
        <v>813.66800000000001</v>
      </c>
      <c r="D14" s="11">
        <f>SUM('Raw IS'!K12:K15)/1000</f>
        <v>1055.5920000000001</v>
      </c>
      <c r="E14" s="11">
        <f>SUM('Raw IS'!L12:L15)/1000</f>
        <v>1186.1489999999999</v>
      </c>
      <c r="F14" s="11">
        <f>SUM('Raw IS'!D13:D16)</f>
        <v>1846</v>
      </c>
      <c r="G14" s="11">
        <f>SUM('Raw IS'!E13:E16)</f>
        <v>4647</v>
      </c>
      <c r="H14" s="11">
        <f>SUM('Raw IS'!F13:F16)</f>
        <v>5401</v>
      </c>
      <c r="I14" s="90">
        <f>I11-I16</f>
        <v>5801.7958783846216</v>
      </c>
      <c r="J14" s="91">
        <f t="shared" ref="J14:R14" si="2">J11-J16</f>
        <v>5927.2193438684044</v>
      </c>
      <c r="K14" s="91">
        <f t="shared" si="2"/>
        <v>5841.0510507346826</v>
      </c>
      <c r="L14" s="91">
        <f t="shared" si="2"/>
        <v>6221.5391368635046</v>
      </c>
      <c r="M14" s="91">
        <f t="shared" si="2"/>
        <v>6425.2813954348012</v>
      </c>
      <c r="N14" s="91">
        <f t="shared" si="2"/>
        <v>6613.55895573422</v>
      </c>
      <c r="O14" s="91">
        <f t="shared" si="2"/>
        <v>6837.1035763792606</v>
      </c>
      <c r="P14" s="91">
        <f t="shared" si="2"/>
        <v>7069.6152573699292</v>
      </c>
      <c r="Q14" s="91">
        <f t="shared" si="2"/>
        <v>7321.7798780149697</v>
      </c>
      <c r="R14" s="91">
        <f t="shared" si="2"/>
        <v>7578.4474383143879</v>
      </c>
    </row>
    <row r="15" spans="1:18" s="50" customFormat="1" x14ac:dyDescent="0.25">
      <c r="A15" s="1"/>
      <c r="B15" s="17"/>
      <c r="C15" s="17"/>
      <c r="D15" s="17"/>
      <c r="E15" s="17"/>
      <c r="F15" s="17"/>
      <c r="G15" s="17"/>
      <c r="H15" s="65"/>
      <c r="I15" s="67"/>
      <c r="J15" s="76"/>
      <c r="K15" s="76"/>
      <c r="L15" s="76"/>
      <c r="M15" s="76"/>
      <c r="N15" s="76"/>
      <c r="O15" s="76"/>
      <c r="P15" s="76"/>
      <c r="Q15" s="76"/>
      <c r="R15" s="76"/>
    </row>
    <row r="16" spans="1:18" s="50" customFormat="1" x14ac:dyDescent="0.25">
      <c r="A16" s="1"/>
      <c r="B16" s="1" t="s">
        <v>10</v>
      </c>
      <c r="C16" s="11">
        <f t="shared" ref="C16:H16" si="3">C11-C14</f>
        <v>667.13</v>
      </c>
      <c r="D16" s="11">
        <f t="shared" si="3"/>
        <v>1000.415</v>
      </c>
      <c r="E16" s="11">
        <f t="shared" si="3"/>
        <v>1342.1</v>
      </c>
      <c r="F16" s="11">
        <f t="shared" si="3"/>
        <v>1782</v>
      </c>
      <c r="G16" s="11">
        <f t="shared" si="3"/>
        <v>4923</v>
      </c>
      <c r="H16" s="11">
        <f t="shared" si="3"/>
        <v>5420</v>
      </c>
      <c r="I16" s="84">
        <f>I11*I17</f>
        <v>5818.2041216153784</v>
      </c>
      <c r="J16" s="74">
        <f t="shared" ref="J16:R16" si="4">J11*J17</f>
        <v>6112.7806561315956</v>
      </c>
      <c r="K16" s="74">
        <f>K11*K17</f>
        <v>6578.9489492653174</v>
      </c>
      <c r="L16" s="74">
        <f t="shared" si="4"/>
        <v>7178.4608631364936</v>
      </c>
      <c r="M16" s="74">
        <f t="shared" si="4"/>
        <v>7594.718604565197</v>
      </c>
      <c r="N16" s="74">
        <f t="shared" si="4"/>
        <v>7976.44104426578</v>
      </c>
      <c r="O16" s="74">
        <f t="shared" si="4"/>
        <v>8312.8964236207376</v>
      </c>
      <c r="P16" s="74">
        <f t="shared" si="4"/>
        <v>8630.3847426300708</v>
      </c>
      <c r="Q16" s="74">
        <f t="shared" si="4"/>
        <v>8938.2201219850303</v>
      </c>
      <c r="R16" s="74">
        <f t="shared" si="4"/>
        <v>9251.5525616856121</v>
      </c>
    </row>
    <row r="17" spans="1:18" s="50" customFormat="1" x14ac:dyDescent="0.25">
      <c r="A17" s="1"/>
      <c r="B17" s="92" t="s">
        <v>11</v>
      </c>
      <c r="C17" s="93">
        <f t="shared" ref="C17:G17" si="5">C16/C11</f>
        <v>0.45052059767773861</v>
      </c>
      <c r="D17" s="93">
        <f t="shared" si="5"/>
        <v>0.48658151455710019</v>
      </c>
      <c r="E17" s="93">
        <f t="shared" si="5"/>
        <v>0.53084170111409124</v>
      </c>
      <c r="F17" s="93">
        <f t="shared" si="5"/>
        <v>0.49117971334068355</v>
      </c>
      <c r="G17" s="93">
        <f t="shared" si="5"/>
        <v>0.51442006269592477</v>
      </c>
      <c r="H17" s="93">
        <f>H16/H11</f>
        <v>0.50087792255798913</v>
      </c>
      <c r="I17" s="96">
        <v>0.50070603456242502</v>
      </c>
      <c r="J17" s="97">
        <v>0.50770603456242491</v>
      </c>
      <c r="K17" s="97">
        <v>0.52970603456242493</v>
      </c>
      <c r="L17" s="97">
        <v>0.53570603456242494</v>
      </c>
      <c r="M17" s="97">
        <v>0.54170603456242494</v>
      </c>
      <c r="N17" s="97">
        <v>0.54670603456242495</v>
      </c>
      <c r="O17" s="97">
        <v>0.54870603456242495</v>
      </c>
      <c r="P17" s="97">
        <v>0.54970603456242495</v>
      </c>
      <c r="Q17" s="97">
        <v>0.54970603456242495</v>
      </c>
      <c r="R17" s="97">
        <v>0.54970603456242495</v>
      </c>
    </row>
    <row r="18" spans="1:18" s="50" customFormat="1" x14ac:dyDescent="0.25">
      <c r="A18" s="1"/>
      <c r="B18" s="1"/>
      <c r="C18" s="11"/>
      <c r="D18" s="11"/>
      <c r="E18" s="11"/>
      <c r="F18" s="11"/>
      <c r="G18" s="11"/>
      <c r="H18" s="11"/>
      <c r="I18" s="84"/>
      <c r="J18" s="74"/>
      <c r="K18" s="74"/>
      <c r="L18" s="74"/>
      <c r="M18" s="74"/>
      <c r="N18" s="74"/>
      <c r="O18" s="74"/>
      <c r="P18" s="74"/>
      <c r="Q18" s="74"/>
      <c r="R18" s="74"/>
    </row>
    <row r="19" spans="1:18" s="50" customFormat="1" x14ac:dyDescent="0.25">
      <c r="A19" s="1"/>
      <c r="B19" s="1" t="s">
        <v>194</v>
      </c>
      <c r="C19" s="11">
        <f>'Raw IS'!J17/1000</f>
        <v>241.03700000000001</v>
      </c>
      <c r="D19" s="11">
        <f>'Raw IS'!K17/1000</f>
        <v>349.59800000000001</v>
      </c>
      <c r="E19" s="11">
        <f>'Raw IS'!L17/1000</f>
        <v>476.75099999999998</v>
      </c>
      <c r="F19" s="11">
        <f>'Raw IS'!D17</f>
        <v>902</v>
      </c>
      <c r="G19" s="11">
        <f>'Raw IS'!E17</f>
        <v>1782</v>
      </c>
      <c r="H19" s="11">
        <f>'Raw IS'!F17</f>
        <v>2068</v>
      </c>
      <c r="I19" s="84">
        <f t="shared" ref="I19:R19" si="6">I20*I11</f>
        <v>2219.42</v>
      </c>
      <c r="J19" s="74">
        <f t="shared" si="6"/>
        <v>2299.64</v>
      </c>
      <c r="K19" s="74">
        <f t="shared" si="6"/>
        <v>2235.6</v>
      </c>
      <c r="L19" s="74">
        <f t="shared" si="6"/>
        <v>2411.9999999999995</v>
      </c>
      <c r="M19" s="74">
        <f t="shared" si="6"/>
        <v>2523.5999999999995</v>
      </c>
      <c r="N19" s="74">
        <f t="shared" si="6"/>
        <v>2553.25</v>
      </c>
      <c r="O19" s="74">
        <f t="shared" si="6"/>
        <v>2575.5</v>
      </c>
      <c r="P19" s="74">
        <f t="shared" si="6"/>
        <v>2669</v>
      </c>
      <c r="Q19" s="74">
        <f t="shared" si="6"/>
        <v>2764.2000000000003</v>
      </c>
      <c r="R19" s="74">
        <f t="shared" si="6"/>
        <v>2861.1000000000004</v>
      </c>
    </row>
    <row r="20" spans="1:18" s="50" customFormat="1" x14ac:dyDescent="0.25">
      <c r="A20" s="1"/>
      <c r="B20" s="92" t="s">
        <v>17</v>
      </c>
      <c r="C20" s="93">
        <f t="shared" ref="C20:H20" si="7">C19/C11</f>
        <v>0.16277507127913463</v>
      </c>
      <c r="D20" s="93">
        <f t="shared" si="7"/>
        <v>0.1700373588222219</v>
      </c>
      <c r="E20" s="93">
        <f t="shared" si="7"/>
        <v>0.18856963851266231</v>
      </c>
      <c r="F20" s="93">
        <f t="shared" si="7"/>
        <v>0.24862183020948181</v>
      </c>
      <c r="G20" s="93">
        <f t="shared" si="7"/>
        <v>0.18620689655172415</v>
      </c>
      <c r="H20" s="93">
        <f t="shared" si="7"/>
        <v>0.19110987893909989</v>
      </c>
      <c r="I20" s="98">
        <v>0.191</v>
      </c>
      <c r="J20" s="99">
        <f>I20</f>
        <v>0.191</v>
      </c>
      <c r="K20" s="99">
        <v>0.18</v>
      </c>
      <c r="L20" s="99">
        <v>0.18</v>
      </c>
      <c r="M20" s="99">
        <f t="shared" ref="K20:R20" si="8">L20</f>
        <v>0.18</v>
      </c>
      <c r="N20" s="99">
        <v>0.17499999999999999</v>
      </c>
      <c r="O20" s="99">
        <v>0.17</v>
      </c>
      <c r="P20" s="99">
        <f t="shared" si="8"/>
        <v>0.17</v>
      </c>
      <c r="Q20" s="99">
        <f t="shared" si="8"/>
        <v>0.17</v>
      </c>
      <c r="R20" s="99">
        <f t="shared" si="8"/>
        <v>0.17</v>
      </c>
    </row>
    <row r="21" spans="1:18" s="50" customFormat="1" x14ac:dyDescent="0.25">
      <c r="A21" s="1"/>
      <c r="B21" s="1"/>
      <c r="C21" s="11"/>
      <c r="D21" s="11"/>
      <c r="E21" s="11"/>
      <c r="F21" s="11"/>
      <c r="G21" s="11"/>
      <c r="H21" s="11"/>
      <c r="I21" s="84"/>
      <c r="J21" s="74"/>
      <c r="K21" s="74"/>
      <c r="L21" s="74"/>
      <c r="M21" s="74"/>
      <c r="N21" s="74"/>
      <c r="O21" s="74"/>
      <c r="P21" s="74"/>
      <c r="Q21" s="74"/>
      <c r="R21" s="74"/>
    </row>
    <row r="22" spans="1:18" s="50" customFormat="1" x14ac:dyDescent="0.25">
      <c r="A22" s="1"/>
      <c r="B22" s="1" t="s">
        <v>12</v>
      </c>
      <c r="C22" s="11">
        <f>SUM('Raw IS'!J16,'Raw IS'!J18:J20)/1000</f>
        <v>257.82</v>
      </c>
      <c r="D22" s="11">
        <f>SUM('Raw IS'!K16,'Raw IS'!K18:K20)/1000</f>
        <v>323.82400000000001</v>
      </c>
      <c r="E22" s="11">
        <f>SUM('Raw IS'!L16,'Raw IS'!L18:L20)/1000</f>
        <v>417.85199999999998</v>
      </c>
      <c r="F22" s="11">
        <f>SUM('Raw IS'!D18:D21)</f>
        <v>1263</v>
      </c>
      <c r="G22" s="11">
        <f>SUM('Raw IS'!E18:E21)</f>
        <v>1681</v>
      </c>
      <c r="H22" s="11">
        <f>SUM('Raw IS'!F18:F21)</f>
        <v>1613</v>
      </c>
      <c r="I22" s="87">
        <f>I23*I11</f>
        <v>1743</v>
      </c>
      <c r="J22" s="78">
        <f t="shared" ref="J22:R22" si="9">J23*J11</f>
        <v>1806</v>
      </c>
      <c r="K22" s="78">
        <f t="shared" si="9"/>
        <v>1738.8000000000002</v>
      </c>
      <c r="L22" s="78">
        <f t="shared" si="9"/>
        <v>1876</v>
      </c>
      <c r="M22" s="78">
        <f t="shared" si="9"/>
        <v>1962.8</v>
      </c>
      <c r="N22" s="78">
        <f t="shared" si="9"/>
        <v>1969.65</v>
      </c>
      <c r="O22" s="78">
        <f t="shared" si="9"/>
        <v>1969.4999999999998</v>
      </c>
      <c r="P22" s="78">
        <f t="shared" si="9"/>
        <v>2041</v>
      </c>
      <c r="Q22" s="78">
        <f t="shared" si="9"/>
        <v>2113.8000000000002</v>
      </c>
      <c r="R22" s="78">
        <f t="shared" si="9"/>
        <v>2187.9</v>
      </c>
    </row>
    <row r="23" spans="1:18" s="50" customFormat="1" x14ac:dyDescent="0.25">
      <c r="A23" s="1"/>
      <c r="B23" s="92" t="s">
        <v>17</v>
      </c>
      <c r="C23" s="93">
        <f>C22/C11</f>
        <v>0.17410882510646286</v>
      </c>
      <c r="D23" s="93">
        <f t="shared" ref="D23:H23" si="10">D22/D11</f>
        <v>0.15750140928508513</v>
      </c>
      <c r="E23" s="93">
        <f t="shared" si="10"/>
        <v>0.16527327806715242</v>
      </c>
      <c r="F23" s="93">
        <f t="shared" si="10"/>
        <v>0.34812568908489527</v>
      </c>
      <c r="G23" s="93">
        <f t="shared" si="10"/>
        <v>0.17565308254963427</v>
      </c>
      <c r="H23" s="93">
        <f t="shared" si="10"/>
        <v>0.14906200905646427</v>
      </c>
      <c r="I23" s="94">
        <v>0.15</v>
      </c>
      <c r="J23" s="95">
        <v>0.15</v>
      </c>
      <c r="K23" s="95">
        <v>0.14000000000000001</v>
      </c>
      <c r="L23" s="95">
        <v>0.14000000000000001</v>
      </c>
      <c r="M23" s="95">
        <v>0.14000000000000001</v>
      </c>
      <c r="N23" s="95">
        <v>0.13500000000000001</v>
      </c>
      <c r="O23" s="95">
        <v>0.13</v>
      </c>
      <c r="P23" s="95">
        <v>0.13</v>
      </c>
      <c r="Q23" s="95">
        <v>0.13</v>
      </c>
      <c r="R23" s="95">
        <v>0.13</v>
      </c>
    </row>
    <row r="24" spans="1:18" s="50" customFormat="1" x14ac:dyDescent="0.25">
      <c r="A24" s="1"/>
      <c r="B24" s="1"/>
      <c r="C24" s="1"/>
      <c r="D24" s="1"/>
      <c r="E24" s="1"/>
      <c r="F24" s="1"/>
      <c r="G24" s="1"/>
      <c r="H24" s="1"/>
      <c r="I24" s="66"/>
      <c r="J24" s="79"/>
      <c r="K24" s="79"/>
      <c r="L24" s="79"/>
      <c r="M24" s="79"/>
      <c r="N24" s="79"/>
      <c r="O24" s="79"/>
      <c r="P24" s="79"/>
      <c r="Q24" s="79"/>
      <c r="R24" s="79"/>
    </row>
    <row r="25" spans="1:18" s="50" customFormat="1" x14ac:dyDescent="0.25">
      <c r="A25" s="1"/>
      <c r="B25" s="1" t="s">
        <v>13</v>
      </c>
      <c r="C25" s="11">
        <f>C19+C22</f>
        <v>498.85699999999997</v>
      </c>
      <c r="D25" s="11">
        <f t="shared" ref="D25:H25" si="11">D19+D22</f>
        <v>673.42200000000003</v>
      </c>
      <c r="E25" s="11">
        <f t="shared" si="11"/>
        <v>894.60299999999995</v>
      </c>
      <c r="F25" s="11">
        <f t="shared" si="11"/>
        <v>2165</v>
      </c>
      <c r="G25" s="11">
        <f t="shared" si="11"/>
        <v>3463</v>
      </c>
      <c r="H25" s="11">
        <f>H19+H22</f>
        <v>3681</v>
      </c>
      <c r="I25" s="87">
        <f t="shared" ref="I25:R25" si="12">I19+I22</f>
        <v>3962.42</v>
      </c>
      <c r="J25" s="78">
        <f t="shared" si="12"/>
        <v>4105.6399999999994</v>
      </c>
      <c r="K25" s="78">
        <f t="shared" si="12"/>
        <v>3974.4</v>
      </c>
      <c r="L25" s="78">
        <f t="shared" si="12"/>
        <v>4288</v>
      </c>
      <c r="M25" s="78">
        <f t="shared" si="12"/>
        <v>4486.3999999999996</v>
      </c>
      <c r="N25" s="78">
        <f t="shared" si="12"/>
        <v>4522.8999999999996</v>
      </c>
      <c r="O25" s="78">
        <f t="shared" si="12"/>
        <v>4545</v>
      </c>
      <c r="P25" s="78">
        <f t="shared" si="12"/>
        <v>4710</v>
      </c>
      <c r="Q25" s="78">
        <f t="shared" si="12"/>
        <v>4878</v>
      </c>
      <c r="R25" s="78">
        <f t="shared" si="12"/>
        <v>5049</v>
      </c>
    </row>
    <row r="26" spans="1:18" s="50" customFormat="1" x14ac:dyDescent="0.25">
      <c r="A26" s="1"/>
      <c r="B26" s="92" t="s">
        <v>17</v>
      </c>
      <c r="C26" s="93">
        <f>C25/C11</f>
        <v>0.33688389638559746</v>
      </c>
      <c r="D26" s="93">
        <f>D25/D11</f>
        <v>0.32753876810730703</v>
      </c>
      <c r="E26" s="93">
        <f>E25/E11</f>
        <v>0.35384291657981476</v>
      </c>
      <c r="F26" s="93">
        <f>F25/F11</f>
        <v>0.59674751929437708</v>
      </c>
      <c r="G26" s="93">
        <f>G25/G11</f>
        <v>0.36185997910135842</v>
      </c>
      <c r="H26" s="93">
        <f>H25/H11</f>
        <v>0.34017188799556419</v>
      </c>
      <c r="I26" s="94">
        <f t="shared" ref="I26:Q26" si="13">I25/I11</f>
        <v>0.34100000000000003</v>
      </c>
      <c r="J26" s="95">
        <f t="shared" si="13"/>
        <v>0.34099999999999997</v>
      </c>
      <c r="K26" s="95">
        <f t="shared" si="13"/>
        <v>0.32</v>
      </c>
      <c r="L26" s="95">
        <f t="shared" si="13"/>
        <v>0.32000000000000006</v>
      </c>
      <c r="M26" s="95">
        <f t="shared" si="13"/>
        <v>0.32</v>
      </c>
      <c r="N26" s="95">
        <f t="shared" si="13"/>
        <v>0.31</v>
      </c>
      <c r="O26" s="95">
        <f t="shared" si="13"/>
        <v>0.30000000000000004</v>
      </c>
      <c r="P26" s="95">
        <f t="shared" si="13"/>
        <v>0.3</v>
      </c>
      <c r="Q26" s="95">
        <f t="shared" si="13"/>
        <v>0.3</v>
      </c>
      <c r="R26" s="95">
        <f>R25/R11</f>
        <v>0.3</v>
      </c>
    </row>
    <row r="27" spans="1:18" s="50" customFormat="1" x14ac:dyDescent="0.25">
      <c r="A27" s="1"/>
      <c r="B27" s="1"/>
      <c r="C27" s="14"/>
      <c r="D27" s="14"/>
      <c r="E27" s="14"/>
      <c r="F27" s="14"/>
      <c r="G27" s="14"/>
      <c r="H27" s="14"/>
      <c r="I27" s="85"/>
      <c r="J27" s="75"/>
      <c r="K27" s="75"/>
      <c r="L27" s="75"/>
      <c r="M27" s="75"/>
      <c r="N27" s="75"/>
      <c r="O27" s="75"/>
      <c r="P27" s="75"/>
      <c r="Q27" s="75"/>
      <c r="R27" s="75"/>
    </row>
    <row r="28" spans="1:18" s="50" customFormat="1" x14ac:dyDescent="0.25">
      <c r="A28" s="1"/>
      <c r="B28" s="1" t="s">
        <v>14</v>
      </c>
      <c r="C28" s="11">
        <f>C16-C25</f>
        <v>168.27300000000002</v>
      </c>
      <c r="D28" s="11">
        <f t="shared" ref="D28:R28" si="14">D16-D25</f>
        <v>326.99299999999994</v>
      </c>
      <c r="E28" s="11">
        <f t="shared" si="14"/>
        <v>447.49699999999996</v>
      </c>
      <c r="F28" s="11">
        <f t="shared" si="14"/>
        <v>-383</v>
      </c>
      <c r="G28" s="11">
        <f t="shared" si="14"/>
        <v>1460</v>
      </c>
      <c r="H28" s="11">
        <f t="shared" si="14"/>
        <v>1739</v>
      </c>
      <c r="I28" s="87">
        <f>I16-I25</f>
        <v>1855.7841216153784</v>
      </c>
      <c r="J28" s="78">
        <f t="shared" si="14"/>
        <v>2007.1406561315962</v>
      </c>
      <c r="K28" s="78">
        <f t="shared" si="14"/>
        <v>2604.5489492653173</v>
      </c>
      <c r="L28" s="78">
        <f t="shared" si="14"/>
        <v>2890.4608631364936</v>
      </c>
      <c r="M28" s="78">
        <f t="shared" si="14"/>
        <v>3108.3186045651973</v>
      </c>
      <c r="N28" s="78">
        <f t="shared" si="14"/>
        <v>3453.5410442657803</v>
      </c>
      <c r="O28" s="78">
        <f t="shared" si="14"/>
        <v>3767.8964236207376</v>
      </c>
      <c r="P28" s="78">
        <f t="shared" si="14"/>
        <v>3920.3847426300708</v>
      </c>
      <c r="Q28" s="78">
        <f t="shared" si="14"/>
        <v>4060.2201219850303</v>
      </c>
      <c r="R28" s="78">
        <f t="shared" si="14"/>
        <v>4202.5525616856121</v>
      </c>
    </row>
    <row r="29" spans="1:18" s="50" customFormat="1" x14ac:dyDescent="0.25">
      <c r="A29" s="1"/>
      <c r="B29" s="1" t="s">
        <v>195</v>
      </c>
      <c r="C29" s="64">
        <f>C32-C28</f>
        <v>-211.66200000000003</v>
      </c>
      <c r="D29" s="64">
        <f t="shared" ref="D29:H29" si="15">D32-D28</f>
        <v>-191.37099999999992</v>
      </c>
      <c r="E29" s="64">
        <f t="shared" si="15"/>
        <v>-322.51899999999995</v>
      </c>
      <c r="F29" s="64">
        <f t="shared" si="15"/>
        <v>-1223</v>
      </c>
      <c r="G29" s="64">
        <f t="shared" si="15"/>
        <v>-2729</v>
      </c>
      <c r="H29" s="64">
        <f t="shared" si="15"/>
        <v>-2304</v>
      </c>
      <c r="I29" s="68">
        <f>I30*I11</f>
        <v>-1545.46</v>
      </c>
      <c r="J29" s="72">
        <f t="shared" ref="J29:R29" si="16">J30*J11</f>
        <v>-1601.3200000000002</v>
      </c>
      <c r="K29" s="72">
        <f t="shared" si="16"/>
        <v>-1651.8600000000001</v>
      </c>
      <c r="L29" s="72">
        <f t="shared" si="16"/>
        <v>-1406.9999999999998</v>
      </c>
      <c r="M29" s="72">
        <f t="shared" si="16"/>
        <v>-1472.0999999999997</v>
      </c>
      <c r="N29" s="72">
        <f t="shared" si="16"/>
        <v>-1313.1</v>
      </c>
      <c r="O29" s="72">
        <f t="shared" si="16"/>
        <v>-1302.8999999999996</v>
      </c>
      <c r="P29" s="72">
        <f t="shared" si="16"/>
        <v>-1318.8000000000002</v>
      </c>
      <c r="Q29" s="72">
        <f t="shared" si="16"/>
        <v>-1089.42</v>
      </c>
      <c r="R29" s="72">
        <f t="shared" si="16"/>
        <v>-1060.29</v>
      </c>
    </row>
    <row r="30" spans="1:18" s="50" customFormat="1" x14ac:dyDescent="0.25">
      <c r="A30" s="1"/>
      <c r="B30" s="92" t="s">
        <v>17</v>
      </c>
      <c r="C30" s="93">
        <f>C29/C11</f>
        <v>-0.14293779435142406</v>
      </c>
      <c r="D30" s="93">
        <f t="shared" ref="D30:H30" si="17">D29/D11</f>
        <v>-9.3078963252556976E-2</v>
      </c>
      <c r="E30" s="93">
        <f t="shared" si="17"/>
        <v>-0.12756615349200176</v>
      </c>
      <c r="F30" s="93">
        <f t="shared" si="17"/>
        <v>-0.33710033076074974</v>
      </c>
      <c r="G30" s="93">
        <f t="shared" si="17"/>
        <v>-0.28516196447230929</v>
      </c>
      <c r="H30" s="93">
        <f t="shared" si="17"/>
        <v>-0.21291932353756585</v>
      </c>
      <c r="I30" s="100">
        <v>-0.13300000000000001</v>
      </c>
      <c r="J30" s="101">
        <v>-0.13300000000000001</v>
      </c>
      <c r="K30" s="101">
        <v>-0.13300000000000001</v>
      </c>
      <c r="L30" s="101">
        <v>-0.105</v>
      </c>
      <c r="M30" s="101">
        <v>-0.105</v>
      </c>
      <c r="N30" s="101">
        <v>-0.09</v>
      </c>
      <c r="O30" s="101">
        <v>-8.5999999999999993E-2</v>
      </c>
      <c r="P30" s="101">
        <v>-8.4000000000000005E-2</v>
      </c>
      <c r="Q30" s="101">
        <v>-6.7000000000000004E-2</v>
      </c>
      <c r="R30" s="101">
        <v>-6.3E-2</v>
      </c>
    </row>
    <row r="31" spans="1:18" s="50" customFormat="1" x14ac:dyDescent="0.25">
      <c r="A31" s="1"/>
      <c r="B31" s="1"/>
      <c r="C31" s="64"/>
      <c r="D31" s="64"/>
      <c r="E31" s="64"/>
      <c r="F31" s="64"/>
      <c r="G31" s="64"/>
      <c r="H31" s="64"/>
      <c r="I31" s="86"/>
      <c r="J31" s="76"/>
      <c r="K31" s="76"/>
      <c r="L31" s="76"/>
      <c r="M31" s="76"/>
      <c r="N31" s="76"/>
      <c r="O31" s="76"/>
      <c r="P31" s="76"/>
      <c r="Q31" s="76"/>
      <c r="R31" s="76"/>
    </row>
    <row r="32" spans="1:18" s="50" customFormat="1" x14ac:dyDescent="0.25">
      <c r="A32" s="1"/>
      <c r="B32" s="1" t="s">
        <v>15</v>
      </c>
      <c r="C32" s="11">
        <f>'Raw IS'!J32/1000</f>
        <v>-43.389000000000003</v>
      </c>
      <c r="D32" s="11">
        <f>'Raw IS'!K32/1000</f>
        <v>135.62200000000001</v>
      </c>
      <c r="E32" s="11">
        <f>'Raw IS'!L32/1000</f>
        <v>124.97799999999999</v>
      </c>
      <c r="F32" s="11">
        <f>'Raw IS'!D32</f>
        <v>-1606</v>
      </c>
      <c r="G32" s="11">
        <f>'Raw IS'!E32</f>
        <v>-1269</v>
      </c>
      <c r="H32" s="11">
        <f>'Raw IS'!F32</f>
        <v>-565</v>
      </c>
      <c r="I32" s="87">
        <f>I28+I29</f>
        <v>310.32412161537832</v>
      </c>
      <c r="J32" s="78">
        <f t="shared" ref="J32:R32" si="18">J28+J29</f>
        <v>405.82065613159602</v>
      </c>
      <c r="K32" s="78">
        <f t="shared" si="18"/>
        <v>952.68894926531721</v>
      </c>
      <c r="L32" s="78">
        <f t="shared" si="18"/>
        <v>1483.4608631364938</v>
      </c>
      <c r="M32" s="78">
        <f t="shared" si="18"/>
        <v>1636.2186045651977</v>
      </c>
      <c r="N32" s="78">
        <f t="shared" si="18"/>
        <v>2140.4410442657804</v>
      </c>
      <c r="O32" s="78">
        <f t="shared" si="18"/>
        <v>2464.9964236207379</v>
      </c>
      <c r="P32" s="78">
        <f t="shared" si="18"/>
        <v>2601.5847426300707</v>
      </c>
      <c r="Q32" s="78">
        <f t="shared" si="18"/>
        <v>2970.8001219850303</v>
      </c>
      <c r="R32" s="78">
        <f t="shared" si="18"/>
        <v>3142.2625616856121</v>
      </c>
    </row>
    <row r="33" spans="1:86" s="50" customFormat="1" x14ac:dyDescent="0.25">
      <c r="A33" s="1"/>
      <c r="B33" s="1"/>
      <c r="C33" s="19"/>
      <c r="D33" s="19"/>
      <c r="E33" s="19"/>
      <c r="F33" s="19"/>
      <c r="G33" s="19"/>
      <c r="H33" s="19"/>
      <c r="I33" s="86"/>
      <c r="J33" s="76"/>
      <c r="K33" s="76"/>
      <c r="L33" s="76"/>
      <c r="M33" s="76"/>
      <c r="N33" s="76"/>
      <c r="O33" s="76"/>
      <c r="P33" s="76"/>
      <c r="Q33" s="76"/>
      <c r="R33" s="76"/>
    </row>
    <row r="34" spans="1:86" s="50" customFormat="1" x14ac:dyDescent="0.25">
      <c r="A34" s="1"/>
      <c r="B34" s="1" t="s">
        <v>16</v>
      </c>
      <c r="C34" s="11">
        <f>C28</f>
        <v>168.27300000000002</v>
      </c>
      <c r="D34" s="11">
        <f t="shared" ref="D34:H34" si="19">D28</f>
        <v>326.99299999999994</v>
      </c>
      <c r="E34" s="11">
        <f t="shared" si="19"/>
        <v>447.49699999999996</v>
      </c>
      <c r="F34" s="11">
        <f t="shared" si="19"/>
        <v>-383</v>
      </c>
      <c r="G34" s="11">
        <f t="shared" si="19"/>
        <v>1460</v>
      </c>
      <c r="H34" s="11">
        <f>H28</f>
        <v>1739</v>
      </c>
      <c r="I34" s="87">
        <f>I28</f>
        <v>1855.7841216153784</v>
      </c>
      <c r="J34" s="78">
        <f t="shared" ref="J34:R34" si="20">J28</f>
        <v>2007.1406561315962</v>
      </c>
      <c r="K34" s="78">
        <f t="shared" si="20"/>
        <v>2604.5489492653173</v>
      </c>
      <c r="L34" s="78">
        <f t="shared" si="20"/>
        <v>2890.4608631364936</v>
      </c>
      <c r="M34" s="78">
        <f>M28</f>
        <v>3108.3186045651973</v>
      </c>
      <c r="N34" s="78">
        <f t="shared" si="20"/>
        <v>3453.5410442657803</v>
      </c>
      <c r="O34" s="78">
        <f t="shared" si="20"/>
        <v>3767.8964236207376</v>
      </c>
      <c r="P34" s="78">
        <f t="shared" si="20"/>
        <v>3920.3847426300708</v>
      </c>
      <c r="Q34" s="78">
        <f t="shared" si="20"/>
        <v>4060.2201219850303</v>
      </c>
      <c r="R34" s="78">
        <f t="shared" si="20"/>
        <v>4202.5525616856121</v>
      </c>
    </row>
    <row r="35" spans="1:86" s="50" customFormat="1" x14ac:dyDescent="0.25">
      <c r="A35" s="1"/>
      <c r="B35" s="92" t="s">
        <v>17</v>
      </c>
      <c r="C35" s="93">
        <f>C34/C11</f>
        <v>0.11363670129214115</v>
      </c>
      <c r="D35" s="93">
        <f>D34/D11</f>
        <v>0.15904274644979319</v>
      </c>
      <c r="E35" s="93">
        <f>E34/E11</f>
        <v>0.17699878453427648</v>
      </c>
      <c r="F35" s="93">
        <f>F34/F11</f>
        <v>-0.1055678059536935</v>
      </c>
      <c r="G35" s="93">
        <f>G34/G11</f>
        <v>0.15256008359456635</v>
      </c>
      <c r="H35" s="93">
        <f>H34/H11</f>
        <v>0.16070603456242491</v>
      </c>
      <c r="I35" s="94">
        <f>I34/I11</f>
        <v>0.15970603456242499</v>
      </c>
      <c r="J35" s="95">
        <f>J34/J11</f>
        <v>0.16670603456242494</v>
      </c>
      <c r="K35" s="95">
        <f>K34/K11</f>
        <v>0.2097060345624249</v>
      </c>
      <c r="L35" s="95">
        <f>L34/L11</f>
        <v>0.21570603456242493</v>
      </c>
      <c r="M35" s="95">
        <f>M34/M11</f>
        <v>0.22170603456242494</v>
      </c>
      <c r="N35" s="95">
        <f>N34/N11</f>
        <v>0.23670603456242498</v>
      </c>
      <c r="O35" s="95">
        <f>O34/O11</f>
        <v>0.24870603456242496</v>
      </c>
      <c r="P35" s="95">
        <f>P34/P11</f>
        <v>0.24970603456242491</v>
      </c>
      <c r="Q35" s="95">
        <f>Q34/Q11</f>
        <v>0.24970603456242499</v>
      </c>
      <c r="R35" s="95">
        <f>R34/R11</f>
        <v>0.24970603456242496</v>
      </c>
    </row>
    <row r="36" spans="1:86" s="50" customFormat="1" x14ac:dyDescent="0.25">
      <c r="A36" s="1"/>
      <c r="B36" s="13"/>
      <c r="C36" s="1"/>
      <c r="D36" s="1"/>
      <c r="E36" s="2"/>
      <c r="F36" s="1"/>
      <c r="G36" s="1"/>
      <c r="H36" s="1"/>
      <c r="I36" s="86"/>
      <c r="J36" s="76"/>
      <c r="K36" s="76"/>
      <c r="L36" s="76"/>
      <c r="M36" s="76"/>
      <c r="N36" s="76"/>
      <c r="O36" s="76"/>
      <c r="P36" s="76"/>
      <c r="Q36" s="76"/>
      <c r="R36" s="76"/>
    </row>
    <row r="37" spans="1:86" s="50" customFormat="1" x14ac:dyDescent="0.25">
      <c r="A37" s="1"/>
      <c r="B37" s="1" t="s">
        <v>18</v>
      </c>
      <c r="C37" s="11">
        <f>'Raw IS'!J33/1000</f>
        <v>116.76900000000001</v>
      </c>
      <c r="D37" s="11">
        <f>'Raw IS'!K33/1000</f>
        <v>-40.387</v>
      </c>
      <c r="E37" s="11">
        <f>'Raw IS'!L33/1000</f>
        <v>-43.976999999999997</v>
      </c>
      <c r="F37" s="11">
        <f>'Raw IS'!D33</f>
        <v>-132</v>
      </c>
      <c r="G37" s="11">
        <f>'Raw IS'!E33</f>
        <v>283</v>
      </c>
      <c r="H37" s="11">
        <f>'Raw IS'!F33</f>
        <v>41</v>
      </c>
      <c r="I37" s="84">
        <f>I34*I38</f>
        <v>-222.69409459384539</v>
      </c>
      <c r="J37" s="74">
        <f t="shared" ref="J37:R37" si="21">J34*J38</f>
        <v>60.214219683947881</v>
      </c>
      <c r="K37" s="74">
        <f t="shared" si="21"/>
        <v>-299.52312916551153</v>
      </c>
      <c r="L37" s="74">
        <f t="shared" si="21"/>
        <v>-433.56912947047402</v>
      </c>
      <c r="M37" s="74">
        <f t="shared" si="21"/>
        <v>-379.21486975695404</v>
      </c>
      <c r="N37" s="74">
        <f t="shared" si="21"/>
        <v>-552.5665670825249</v>
      </c>
      <c r="O37" s="74">
        <f t="shared" si="21"/>
        <v>-602.86342777931804</v>
      </c>
      <c r="P37" s="74">
        <f t="shared" si="21"/>
        <v>-627.26155882081139</v>
      </c>
      <c r="Q37" s="74">
        <f t="shared" si="21"/>
        <v>-649.63521951760492</v>
      </c>
      <c r="R37" s="74">
        <f t="shared" si="21"/>
        <v>-504.30630740227343</v>
      </c>
    </row>
    <row r="38" spans="1:86" s="50" customFormat="1" x14ac:dyDescent="0.25">
      <c r="A38" s="1"/>
      <c r="B38" s="92" t="s">
        <v>19</v>
      </c>
      <c r="C38" s="102">
        <f t="shared" ref="C38:H38" si="22">C37/C34</f>
        <v>0.69392594177318989</v>
      </c>
      <c r="D38" s="102">
        <f t="shared" si="22"/>
        <v>-0.12351028921108405</v>
      </c>
      <c r="E38" s="102">
        <f t="shared" si="22"/>
        <v>-9.8273284513639203E-2</v>
      </c>
      <c r="F38" s="102">
        <f t="shared" si="22"/>
        <v>0.34464751958224543</v>
      </c>
      <c r="G38" s="102">
        <f t="shared" si="22"/>
        <v>0.19383561643835617</v>
      </c>
      <c r="H38" s="102">
        <f t="shared" si="22"/>
        <v>2.3576768257619323E-2</v>
      </c>
      <c r="I38" s="96">
        <v>-0.12</v>
      </c>
      <c r="J38" s="97">
        <v>0.03</v>
      </c>
      <c r="K38" s="97">
        <v>-0.115</v>
      </c>
      <c r="L38" s="97">
        <v>-0.15</v>
      </c>
      <c r="M38" s="97">
        <v>-0.122</v>
      </c>
      <c r="N38" s="97">
        <v>-0.16</v>
      </c>
      <c r="O38" s="97">
        <v>-0.16</v>
      </c>
      <c r="P38" s="97">
        <v>-0.16</v>
      </c>
      <c r="Q38" s="97">
        <v>-0.16</v>
      </c>
      <c r="R38" s="97">
        <v>-0.12</v>
      </c>
    </row>
    <row r="39" spans="1:86" s="50" customFormat="1" x14ac:dyDescent="0.25">
      <c r="A39" s="1"/>
      <c r="B39" s="1"/>
      <c r="C39" s="1"/>
      <c r="D39" s="1"/>
      <c r="E39" s="1"/>
      <c r="F39" s="1"/>
      <c r="G39" s="1"/>
      <c r="H39" s="1"/>
      <c r="I39" s="86"/>
      <c r="J39" s="76"/>
      <c r="K39" s="76"/>
      <c r="L39" s="76"/>
      <c r="M39" s="76"/>
      <c r="N39" s="76"/>
      <c r="O39" s="76"/>
      <c r="P39" s="76"/>
      <c r="Q39" s="76"/>
      <c r="R39" s="76"/>
    </row>
    <row r="40" spans="1:86" s="50" customFormat="1" x14ac:dyDescent="0.25">
      <c r="A40" s="1"/>
      <c r="B40" s="9" t="s">
        <v>20</v>
      </c>
      <c r="C40" s="9">
        <v>2017</v>
      </c>
      <c r="D40" s="9">
        <v>2018</v>
      </c>
      <c r="E40" s="10">
        <v>2019</v>
      </c>
      <c r="F40" s="9">
        <v>2020</v>
      </c>
      <c r="G40" s="9">
        <v>2021</v>
      </c>
      <c r="H40" s="9">
        <v>2022</v>
      </c>
      <c r="I40" s="88">
        <v>2023</v>
      </c>
      <c r="J40" s="80">
        <v>2024</v>
      </c>
      <c r="K40" s="80">
        <v>2025</v>
      </c>
      <c r="L40" s="80">
        <v>2026</v>
      </c>
      <c r="M40" s="80">
        <v>2027</v>
      </c>
      <c r="N40" s="80">
        <v>2028</v>
      </c>
      <c r="O40" s="80">
        <v>2029</v>
      </c>
      <c r="P40" s="80">
        <v>2030</v>
      </c>
      <c r="Q40" s="80">
        <v>2031</v>
      </c>
      <c r="R40" s="80">
        <v>2032</v>
      </c>
      <c r="S40" s="9">
        <v>2033</v>
      </c>
      <c r="T40" s="9">
        <v>2034</v>
      </c>
      <c r="U40" s="9">
        <v>2035</v>
      </c>
      <c r="V40" s="9">
        <v>2036</v>
      </c>
      <c r="W40" s="9">
        <v>2037</v>
      </c>
      <c r="X40" s="9">
        <v>2038</v>
      </c>
      <c r="Y40" s="9">
        <v>2039</v>
      </c>
      <c r="Z40" s="9">
        <v>2040</v>
      </c>
      <c r="AA40" s="9">
        <v>2041</v>
      </c>
      <c r="AB40" s="9">
        <v>2042</v>
      </c>
      <c r="AC40" s="9">
        <v>2043</v>
      </c>
      <c r="AD40" s="9">
        <v>2044</v>
      </c>
      <c r="AE40" s="9">
        <v>2045</v>
      </c>
      <c r="AF40" s="9">
        <v>2046</v>
      </c>
      <c r="AG40" s="9">
        <v>2047</v>
      </c>
      <c r="AH40" s="9">
        <v>2048</v>
      </c>
      <c r="AI40" s="9">
        <v>2049</v>
      </c>
      <c r="AJ40" s="9">
        <v>2050</v>
      </c>
      <c r="AK40" s="9">
        <v>2051</v>
      </c>
      <c r="AL40" s="9">
        <v>2052</v>
      </c>
      <c r="AM40" s="9">
        <v>2053</v>
      </c>
      <c r="AN40" s="9">
        <v>2054</v>
      </c>
      <c r="AO40" s="9">
        <v>2055</v>
      </c>
      <c r="AP40" s="9">
        <v>2056</v>
      </c>
      <c r="AQ40" s="9">
        <v>2057</v>
      </c>
      <c r="AR40" s="9">
        <v>2058</v>
      </c>
      <c r="AS40" s="9">
        <v>2059</v>
      </c>
      <c r="AT40" s="9">
        <v>2060</v>
      </c>
      <c r="AU40" s="9">
        <v>2061</v>
      </c>
      <c r="AV40" s="9">
        <v>2062</v>
      </c>
      <c r="AW40" s="9">
        <v>2063</v>
      </c>
      <c r="AX40" s="9">
        <v>2064</v>
      </c>
      <c r="AY40" s="9">
        <v>2065</v>
      </c>
      <c r="AZ40" s="9">
        <v>2066</v>
      </c>
      <c r="BA40" s="9">
        <v>2067</v>
      </c>
      <c r="BB40" s="9">
        <v>2068</v>
      </c>
      <c r="BC40" s="9">
        <v>2069</v>
      </c>
      <c r="BD40" s="9">
        <v>2070</v>
      </c>
      <c r="BE40" s="9">
        <v>2071</v>
      </c>
      <c r="BF40" s="9">
        <v>2072</v>
      </c>
      <c r="BG40" s="9">
        <v>2073</v>
      </c>
      <c r="BH40" s="9">
        <v>2074</v>
      </c>
      <c r="BI40" s="9">
        <v>2075</v>
      </c>
      <c r="BJ40" s="9">
        <v>2076</v>
      </c>
      <c r="BK40" s="9">
        <v>2077</v>
      </c>
      <c r="BL40" s="9">
        <v>2078</v>
      </c>
      <c r="BM40" s="9">
        <v>2079</v>
      </c>
      <c r="BN40" s="9">
        <v>2080</v>
      </c>
      <c r="BO40" s="9">
        <v>2081</v>
      </c>
      <c r="BP40" s="9">
        <v>2082</v>
      </c>
      <c r="BQ40" s="9">
        <v>2083</v>
      </c>
      <c r="BR40" s="9">
        <v>2084</v>
      </c>
      <c r="BS40" s="9">
        <v>2085</v>
      </c>
      <c r="BT40" s="9">
        <v>2086</v>
      </c>
      <c r="BU40" s="9">
        <v>2087</v>
      </c>
      <c r="BV40" s="9">
        <v>2088</v>
      </c>
      <c r="BW40" s="9">
        <v>2089</v>
      </c>
      <c r="BX40" s="9">
        <v>2090</v>
      </c>
      <c r="BY40" s="9">
        <v>2091</v>
      </c>
      <c r="BZ40" s="9">
        <v>2092</v>
      </c>
      <c r="CA40" s="9">
        <v>2093</v>
      </c>
      <c r="CB40" s="9">
        <v>2094</v>
      </c>
      <c r="CC40" s="9">
        <v>2095</v>
      </c>
      <c r="CD40" s="9">
        <v>2096</v>
      </c>
      <c r="CE40" s="9">
        <v>2097</v>
      </c>
      <c r="CF40" s="9">
        <v>2098</v>
      </c>
      <c r="CG40" s="9">
        <v>2099</v>
      </c>
      <c r="CH40" s="9">
        <v>2100</v>
      </c>
    </row>
    <row r="41" spans="1:86" s="50" customFormat="1" x14ac:dyDescent="0.25">
      <c r="A41" s="1"/>
      <c r="B41" s="1" t="s">
        <v>21</v>
      </c>
      <c r="C41" s="11">
        <f>'Raw CF'!N9/1000</f>
        <v>105.89100000000001</v>
      </c>
      <c r="D41" s="11">
        <f>'Raw CF'!O9/1000</f>
        <v>157.429</v>
      </c>
      <c r="E41" s="11">
        <f>'Raw CF'!P9/1000</f>
        <v>221.52500000000001</v>
      </c>
      <c r="F41" s="11">
        <f>'Raw CF'!D10</f>
        <v>583</v>
      </c>
      <c r="G41" s="11">
        <f>'Raw CF'!E10</f>
        <v>1126</v>
      </c>
      <c r="H41" s="11">
        <f>'Raw CF'!F10</f>
        <v>1205</v>
      </c>
      <c r="I41" s="84">
        <f>I42*I11</f>
        <v>1220</v>
      </c>
      <c r="J41" s="74">
        <f t="shared" ref="J41:R41" si="23">J42*J11</f>
        <v>1230</v>
      </c>
      <c r="K41" s="74">
        <f t="shared" si="23"/>
        <v>1200</v>
      </c>
      <c r="L41" s="74">
        <f t="shared" si="23"/>
        <v>1200</v>
      </c>
      <c r="M41" s="74">
        <f t="shared" si="23"/>
        <v>1200</v>
      </c>
      <c r="N41" s="74">
        <f t="shared" si="23"/>
        <v>1100</v>
      </c>
      <c r="O41" s="74">
        <f t="shared" si="23"/>
        <v>1100</v>
      </c>
      <c r="P41" s="74">
        <f t="shared" si="23"/>
        <v>1100</v>
      </c>
      <c r="Q41" s="74">
        <f t="shared" si="23"/>
        <v>1000</v>
      </c>
      <c r="R41" s="74">
        <f t="shared" si="23"/>
        <v>1000</v>
      </c>
    </row>
    <row r="42" spans="1:86" s="50" customFormat="1" x14ac:dyDescent="0.25">
      <c r="A42" s="1"/>
      <c r="B42" s="92" t="s">
        <v>17</v>
      </c>
      <c r="C42" s="93">
        <f>C41/C11</f>
        <v>7.1509415869011175E-2</v>
      </c>
      <c r="D42" s="93">
        <f>D41/D11</f>
        <v>7.6570264595402643E-2</v>
      </c>
      <c r="E42" s="93">
        <f>E41/E11</f>
        <v>8.761992984077123E-2</v>
      </c>
      <c r="F42" s="93">
        <f>F41/F11</f>
        <v>0.16069459757442117</v>
      </c>
      <c r="G42" s="93">
        <f>G41/G11</f>
        <v>0.11765935214211076</v>
      </c>
      <c r="H42" s="93">
        <f>H41/H11</f>
        <v>0.11135754551335367</v>
      </c>
      <c r="I42" s="94">
        <v>0.10499139414802065</v>
      </c>
      <c r="J42" s="95">
        <v>0.10215946843853821</v>
      </c>
      <c r="K42" s="95">
        <v>9.6618357487922704E-2</v>
      </c>
      <c r="L42" s="95">
        <v>8.9552238805970158E-2</v>
      </c>
      <c r="M42" s="95">
        <v>8.5592011412268201E-2</v>
      </c>
      <c r="N42" s="95">
        <v>7.5394105551747775E-2</v>
      </c>
      <c r="O42" s="95">
        <v>7.2607260726072612E-2</v>
      </c>
      <c r="P42" s="95">
        <v>7.0063694267515922E-2</v>
      </c>
      <c r="Q42" s="95">
        <v>6.1500615006150061E-2</v>
      </c>
      <c r="R42" s="95">
        <v>5.9417706476530004E-2</v>
      </c>
    </row>
    <row r="43" spans="1:86" s="50" customFormat="1" x14ac:dyDescent="0.25">
      <c r="A43" s="1"/>
      <c r="B43" s="1"/>
      <c r="C43" s="1"/>
      <c r="D43" s="1"/>
      <c r="E43" s="2"/>
      <c r="F43" s="1"/>
      <c r="G43" s="1"/>
      <c r="H43" s="1"/>
      <c r="I43" s="86"/>
      <c r="J43" s="76"/>
      <c r="K43" s="76"/>
      <c r="L43" s="76"/>
      <c r="M43" s="76"/>
      <c r="N43" s="76"/>
      <c r="O43" s="76"/>
      <c r="P43" s="76"/>
      <c r="Q43" s="76"/>
      <c r="R43" s="76"/>
    </row>
    <row r="44" spans="1:86" s="50" customFormat="1" x14ac:dyDescent="0.25">
      <c r="A44" s="1"/>
      <c r="B44" s="1" t="s">
        <v>22</v>
      </c>
      <c r="C44" s="11">
        <f>'Raw CF'!N28/1000</f>
        <v>-83.161000000000001</v>
      </c>
      <c r="D44" s="11">
        <f>'Raw CF'!O28/1000</f>
        <v>-147.41499999999999</v>
      </c>
      <c r="E44" s="11">
        <f>'Raw CF'!P28/1000</f>
        <v>-170.76599999999999</v>
      </c>
      <c r="F44" s="36">
        <f>'Raw CF'!D34</f>
        <v>-164</v>
      </c>
      <c r="G44" s="36">
        <f>'Raw CF'!E34</f>
        <v>-520</v>
      </c>
      <c r="H44" s="36">
        <f>'Raw CF'!F34</f>
        <v>-952</v>
      </c>
      <c r="I44" s="84">
        <f>I45*I11</f>
        <v>-929.6</v>
      </c>
      <c r="J44" s="74">
        <f t="shared" ref="J44:R44" si="24">J45*J11</f>
        <v>-963.2</v>
      </c>
      <c r="K44" s="74">
        <f t="shared" si="24"/>
        <v>-993.6</v>
      </c>
      <c r="L44" s="74">
        <f t="shared" si="24"/>
        <v>-1071.9999999999998</v>
      </c>
      <c r="M44" s="74">
        <f t="shared" si="24"/>
        <v>-1121.5999999999999</v>
      </c>
      <c r="N44" s="74">
        <f t="shared" si="24"/>
        <v>-1167.2</v>
      </c>
      <c r="O44" s="74">
        <f t="shared" si="24"/>
        <v>-1211.9999999999998</v>
      </c>
      <c r="P44" s="74">
        <f t="shared" si="24"/>
        <v>-1256</v>
      </c>
      <c r="Q44" s="74">
        <f t="shared" si="24"/>
        <v>-1300.8</v>
      </c>
      <c r="R44" s="74">
        <f t="shared" si="24"/>
        <v>-1346.4</v>
      </c>
    </row>
    <row r="45" spans="1:86" s="50" customFormat="1" x14ac:dyDescent="0.25">
      <c r="A45" s="1"/>
      <c r="B45" s="92" t="s">
        <v>17</v>
      </c>
      <c r="C45" s="93">
        <f>C44/C11</f>
        <v>-5.6159584224181824E-2</v>
      </c>
      <c r="D45" s="93">
        <f>D44/D11</f>
        <v>-7.1699658610111724E-2</v>
      </c>
      <c r="E45" s="93">
        <f>E44/E11</f>
        <v>-6.7543188981781466E-2</v>
      </c>
      <c r="F45" s="93">
        <f>F44/F11</f>
        <v>-4.5203969128996692E-2</v>
      </c>
      <c r="G45" s="93">
        <f>G44/G11</f>
        <v>-5.4336468129571575E-2</v>
      </c>
      <c r="H45" s="93">
        <f>H44/H11</f>
        <v>-8.7977081600591436E-2</v>
      </c>
      <c r="I45" s="94">
        <v>-0.08</v>
      </c>
      <c r="J45" s="95">
        <v>-0.08</v>
      </c>
      <c r="K45" s="95">
        <v>-0.08</v>
      </c>
      <c r="L45" s="95">
        <v>-0.08</v>
      </c>
      <c r="M45" s="95">
        <v>-0.08</v>
      </c>
      <c r="N45" s="95">
        <v>-0.08</v>
      </c>
      <c r="O45" s="95">
        <v>-0.08</v>
      </c>
      <c r="P45" s="95">
        <v>-0.08</v>
      </c>
      <c r="Q45" s="95">
        <v>-0.08</v>
      </c>
      <c r="R45" s="95">
        <v>-0.08</v>
      </c>
    </row>
    <row r="46" spans="1:86" s="50" customFormat="1" x14ac:dyDescent="0.25">
      <c r="A46" s="1"/>
      <c r="B46" s="1"/>
      <c r="C46" s="1"/>
      <c r="D46" s="1"/>
      <c r="E46" s="2"/>
      <c r="F46" s="1"/>
      <c r="G46" s="1"/>
      <c r="H46" s="1"/>
      <c r="I46" s="86"/>
      <c r="J46" s="76"/>
      <c r="K46" s="76"/>
      <c r="L46" s="76"/>
      <c r="M46" s="76"/>
      <c r="N46" s="76"/>
      <c r="O46" s="76"/>
      <c r="P46" s="76"/>
      <c r="Q46" s="76"/>
      <c r="R46" s="76"/>
    </row>
    <row r="47" spans="1:86" s="50" customFormat="1" x14ac:dyDescent="0.25">
      <c r="A47" s="1"/>
      <c r="B47" s="1" t="s">
        <v>23</v>
      </c>
      <c r="C47" s="18">
        <f>SUM('Raw CF'!N22:N25)/1000</f>
        <v>-27.134</v>
      </c>
      <c r="D47" s="18">
        <f>SUM('Raw CF'!O22:O25)/1000</f>
        <v>-4.0650000000000004</v>
      </c>
      <c r="E47" s="18">
        <f>SUM('Raw CF'!P22:P25)/1000</f>
        <v>23.173999999999999</v>
      </c>
      <c r="F47" s="1">
        <f>SUM('Raw CF'!D26:D30)</f>
        <v>-80</v>
      </c>
      <c r="G47" s="1">
        <f>SUM('Raw CF'!E26:E30)</f>
        <v>298</v>
      </c>
      <c r="H47" s="1">
        <f>SUM('Raw CF'!F26:F30)</f>
        <v>-244</v>
      </c>
      <c r="I47" s="84">
        <f>I48*I11</f>
        <v>232.4</v>
      </c>
      <c r="J47" s="74">
        <f>J48*J11</f>
        <v>240.8</v>
      </c>
      <c r="K47" s="74">
        <f>K48*K11</f>
        <v>248.4</v>
      </c>
      <c r="L47" s="74">
        <f>L48*L11</f>
        <v>267.99999999999994</v>
      </c>
      <c r="M47" s="74">
        <f>M48*M11</f>
        <v>280.39999999999998</v>
      </c>
      <c r="N47" s="74">
        <f>N48*N11</f>
        <v>291.8</v>
      </c>
      <c r="O47" s="74">
        <f>O48*O11</f>
        <v>302.99999999999994</v>
      </c>
      <c r="P47" s="74">
        <f>P48*P11</f>
        <v>314</v>
      </c>
      <c r="Q47" s="74">
        <f>Q48*Q11</f>
        <v>325.2</v>
      </c>
      <c r="R47" s="74">
        <f>R48*R11</f>
        <v>336.6</v>
      </c>
    </row>
    <row r="48" spans="1:86" s="50" customFormat="1" x14ac:dyDescent="0.25">
      <c r="A48" s="1"/>
      <c r="B48" s="92" t="s">
        <v>17</v>
      </c>
      <c r="C48" s="93">
        <f>C47/C11</f>
        <v>-1.8323903732987215E-2</v>
      </c>
      <c r="D48" s="93">
        <f>D47/D11</f>
        <v>-1.9771333463358834E-3</v>
      </c>
      <c r="E48" s="93">
        <f>E47/E11</f>
        <v>9.1660275550390809E-3</v>
      </c>
      <c r="F48" s="93">
        <f>F47/F11</f>
        <v>-2.2050716648291068E-2</v>
      </c>
      <c r="G48" s="93">
        <f>G47/G11</f>
        <v>3.1138975966562173E-2</v>
      </c>
      <c r="H48" s="93">
        <f>H47/H11</f>
        <v>-2.2548747805193604E-2</v>
      </c>
      <c r="I48" s="103">
        <v>0.02</v>
      </c>
      <c r="J48" s="104">
        <v>0.02</v>
      </c>
      <c r="K48" s="104">
        <v>0.02</v>
      </c>
      <c r="L48" s="104">
        <v>0.02</v>
      </c>
      <c r="M48" s="104">
        <v>0.02</v>
      </c>
      <c r="N48" s="104">
        <v>0.02</v>
      </c>
      <c r="O48" s="104">
        <v>0.02</v>
      </c>
      <c r="P48" s="104">
        <v>0.02</v>
      </c>
      <c r="Q48" s="104">
        <v>0.02</v>
      </c>
      <c r="R48" s="104">
        <v>0.02</v>
      </c>
    </row>
    <row r="49" spans="1:86" s="50" customFormat="1" x14ac:dyDescent="0.25">
      <c r="A49" s="1"/>
      <c r="B49" s="1"/>
      <c r="C49" s="1"/>
      <c r="D49" s="1"/>
      <c r="E49" s="1"/>
      <c r="F49" s="1"/>
      <c r="G49" s="1"/>
      <c r="H49" s="1"/>
      <c r="I49" s="86"/>
      <c r="J49" s="76"/>
      <c r="K49" s="76"/>
      <c r="L49" s="76"/>
      <c r="M49" s="76"/>
      <c r="N49" s="76"/>
      <c r="O49" s="76"/>
      <c r="P49" s="76"/>
      <c r="Q49" s="76"/>
      <c r="R49" s="76"/>
    </row>
    <row r="50" spans="1:86" s="50" customFormat="1" x14ac:dyDescent="0.25">
      <c r="A50" s="1"/>
      <c r="B50" s="9" t="s">
        <v>24</v>
      </c>
      <c r="C50" s="11">
        <f>C34+C37</f>
        <v>285.04200000000003</v>
      </c>
      <c r="D50" s="11">
        <f t="shared" ref="D50:R50" si="25">D34+D37</f>
        <v>286.60599999999994</v>
      </c>
      <c r="E50" s="11">
        <f t="shared" si="25"/>
        <v>403.52</v>
      </c>
      <c r="F50" s="11">
        <f t="shared" si="25"/>
        <v>-515</v>
      </c>
      <c r="G50" s="11">
        <f t="shared" si="25"/>
        <v>1743</v>
      </c>
      <c r="H50" s="11">
        <f t="shared" si="25"/>
        <v>1780</v>
      </c>
      <c r="I50" s="87">
        <f t="shared" si="25"/>
        <v>1633.0900270215329</v>
      </c>
      <c r="J50" s="78">
        <f t="shared" si="25"/>
        <v>2067.3548758155439</v>
      </c>
      <c r="K50" s="78">
        <f t="shared" si="25"/>
        <v>2305.025820099806</v>
      </c>
      <c r="L50" s="78">
        <f t="shared" si="25"/>
        <v>2456.8917336660197</v>
      </c>
      <c r="M50" s="78">
        <f t="shared" si="25"/>
        <v>2729.1037348082432</v>
      </c>
      <c r="N50" s="78">
        <f t="shared" si="25"/>
        <v>2900.9744771832557</v>
      </c>
      <c r="O50" s="78">
        <f t="shared" si="25"/>
        <v>3165.0329958414195</v>
      </c>
      <c r="P50" s="78">
        <f t="shared" si="25"/>
        <v>3293.1231838092594</v>
      </c>
      <c r="Q50" s="78">
        <f t="shared" si="25"/>
        <v>3410.5849024674253</v>
      </c>
      <c r="R50" s="78">
        <f t="shared" si="25"/>
        <v>3698.2462542833387</v>
      </c>
    </row>
    <row r="51" spans="1:86" s="50" customFormat="1" x14ac:dyDescent="0.25">
      <c r="A51" s="1"/>
      <c r="B51" s="9" t="s">
        <v>50</v>
      </c>
      <c r="C51" s="11">
        <v>0</v>
      </c>
      <c r="D51" s="11">
        <v>0</v>
      </c>
      <c r="E51" s="11">
        <v>0</v>
      </c>
      <c r="F51" s="11">
        <f>'Raw IS'!D35+'Raw IS'!D37</f>
        <v>-19</v>
      </c>
      <c r="G51" s="11">
        <f>'Raw IS'!E35+'Raw IS'!E37</f>
        <v>-33</v>
      </c>
      <c r="H51" s="11">
        <f>'Raw IS'!F35+'Raw IS'!F37</f>
        <v>-375</v>
      </c>
      <c r="I51" s="87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  <c r="Q51" s="78">
        <v>0</v>
      </c>
      <c r="R51" s="78">
        <v>0</v>
      </c>
    </row>
    <row r="52" spans="1:86" s="50" customFormat="1" x14ac:dyDescent="0.25">
      <c r="A52" s="1"/>
      <c r="B52" s="9" t="s">
        <v>25</v>
      </c>
      <c r="C52" s="11">
        <f>C32+C37-C51</f>
        <v>73.38</v>
      </c>
      <c r="D52" s="11">
        <f t="shared" ref="D52:E52" si="26">D32+D37-D51</f>
        <v>95.235000000000014</v>
      </c>
      <c r="E52" s="11">
        <f t="shared" si="26"/>
        <v>81.001000000000005</v>
      </c>
      <c r="F52" s="11">
        <f>F32+F37+F51</f>
        <v>-1757</v>
      </c>
      <c r="G52" s="11">
        <f t="shared" ref="G52:H52" si="27">G32+G37+G51</f>
        <v>-1019</v>
      </c>
      <c r="H52" s="11">
        <f>H32+H37+H51</f>
        <v>-899</v>
      </c>
      <c r="I52" s="87">
        <f t="shared" ref="I52" si="28">I32+I37+I51</f>
        <v>87.630027021532925</v>
      </c>
      <c r="J52" s="78">
        <f>J32+J37+J51</f>
        <v>466.0348758155439</v>
      </c>
      <c r="K52" s="78">
        <f t="shared" ref="K52" si="29">K32+K37+K51</f>
        <v>653.16582009980561</v>
      </c>
      <c r="L52" s="78">
        <f t="shared" ref="L52" si="30">L32+L37+L51</f>
        <v>1049.8917336660197</v>
      </c>
      <c r="M52" s="78">
        <f t="shared" ref="M52" si="31">M32+M37+M51</f>
        <v>1257.0037348082437</v>
      </c>
      <c r="N52" s="78">
        <f t="shared" ref="N52" si="32">N32+N37+N51</f>
        <v>1587.8744771832555</v>
      </c>
      <c r="O52" s="78">
        <f t="shared" ref="O52" si="33">O32+O37+O51</f>
        <v>1862.1329958414199</v>
      </c>
      <c r="P52" s="78">
        <f t="shared" ref="P52" si="34">P32+P37+P51</f>
        <v>1974.3231838092593</v>
      </c>
      <c r="Q52" s="78">
        <f t="shared" ref="Q52" si="35">Q32+Q37+Q51</f>
        <v>2321.1649024674252</v>
      </c>
      <c r="R52" s="78">
        <f t="shared" ref="R52" si="36">R32+R37+R51</f>
        <v>2637.9562542833387</v>
      </c>
      <c r="S52" s="51">
        <f>R52*(1+$E$6)</f>
        <v>2664.335816826172</v>
      </c>
      <c r="T52" s="51">
        <f t="shared" ref="T52:CE52" si="37">S52*(1+$E$6)</f>
        <v>2690.9791749944338</v>
      </c>
      <c r="U52" s="51">
        <f t="shared" si="37"/>
        <v>2717.8889667443782</v>
      </c>
      <c r="V52" s="51">
        <f t="shared" si="37"/>
        <v>2745.067856411822</v>
      </c>
      <c r="W52" s="51">
        <f t="shared" si="37"/>
        <v>2772.5185349759404</v>
      </c>
      <c r="X52" s="51">
        <f t="shared" si="37"/>
        <v>2800.2437203257</v>
      </c>
      <c r="Y52" s="51">
        <f t="shared" si="37"/>
        <v>2828.2461575289572</v>
      </c>
      <c r="Z52" s="51">
        <f t="shared" si="37"/>
        <v>2856.5286191042469</v>
      </c>
      <c r="AA52" s="51">
        <f t="shared" si="37"/>
        <v>2885.0939052952895</v>
      </c>
      <c r="AB52" s="51">
        <f t="shared" si="37"/>
        <v>2913.9448443482424</v>
      </c>
      <c r="AC52" s="51">
        <f t="shared" si="37"/>
        <v>2943.0842927917247</v>
      </c>
      <c r="AD52" s="51">
        <f t="shared" si="37"/>
        <v>2972.5151357196419</v>
      </c>
      <c r="AE52" s="51">
        <f t="shared" si="37"/>
        <v>3002.2402870768383</v>
      </c>
      <c r="AF52" s="51">
        <f t="shared" si="37"/>
        <v>3032.2626899476068</v>
      </c>
      <c r="AG52" s="51">
        <f t="shared" si="37"/>
        <v>3062.585316847083</v>
      </c>
      <c r="AH52" s="51">
        <f t="shared" si="37"/>
        <v>3093.2111700155538</v>
      </c>
      <c r="AI52" s="51">
        <f t="shared" si="37"/>
        <v>3124.1432817157092</v>
      </c>
      <c r="AJ52" s="51">
        <f t="shared" si="37"/>
        <v>3155.3847145328664</v>
      </c>
      <c r="AK52" s="51">
        <f t="shared" si="37"/>
        <v>3186.9385616781951</v>
      </c>
      <c r="AL52" s="51">
        <f t="shared" si="37"/>
        <v>3218.8079472949771</v>
      </c>
      <c r="AM52" s="51">
        <f t="shared" si="37"/>
        <v>3250.9960267679271</v>
      </c>
      <c r="AN52" s="51">
        <f t="shared" si="37"/>
        <v>3283.5059870356063</v>
      </c>
      <c r="AO52" s="51">
        <f t="shared" si="37"/>
        <v>3316.3410469059622</v>
      </c>
      <c r="AP52" s="51">
        <f t="shared" si="37"/>
        <v>3349.504457375022</v>
      </c>
      <c r="AQ52" s="51">
        <f t="shared" si="37"/>
        <v>3382.9995019487724</v>
      </c>
      <c r="AR52" s="51">
        <f t="shared" si="37"/>
        <v>3416.8294969682602</v>
      </c>
      <c r="AS52" s="51">
        <f t="shared" si="37"/>
        <v>3450.997791937943</v>
      </c>
      <c r="AT52" s="51">
        <f t="shared" si="37"/>
        <v>3485.5077698573223</v>
      </c>
      <c r="AU52" s="51">
        <f t="shared" si="37"/>
        <v>3520.3628475558953</v>
      </c>
      <c r="AV52" s="51">
        <f t="shared" si="37"/>
        <v>3555.5664760314544</v>
      </c>
      <c r="AW52" s="51">
        <f t="shared" si="37"/>
        <v>3591.1221407917687</v>
      </c>
      <c r="AX52" s="51">
        <f t="shared" si="37"/>
        <v>3627.0333621996865</v>
      </c>
      <c r="AY52" s="51">
        <f t="shared" si="37"/>
        <v>3663.3036958216835</v>
      </c>
      <c r="AZ52" s="51">
        <f t="shared" si="37"/>
        <v>3699.9367327799005</v>
      </c>
      <c r="BA52" s="51">
        <f t="shared" si="37"/>
        <v>3736.9361001076995</v>
      </c>
      <c r="BB52" s="51">
        <f t="shared" si="37"/>
        <v>3774.3054611087764</v>
      </c>
      <c r="BC52" s="51">
        <f t="shared" si="37"/>
        <v>3812.0485157198641</v>
      </c>
      <c r="BD52" s="51">
        <f t="shared" si="37"/>
        <v>3850.1690008770629</v>
      </c>
      <c r="BE52" s="51">
        <f t="shared" si="37"/>
        <v>3888.6706908858337</v>
      </c>
      <c r="BF52" s="51">
        <f t="shared" si="37"/>
        <v>3927.557397794692</v>
      </c>
      <c r="BG52" s="51">
        <f t="shared" si="37"/>
        <v>3966.8329717726388</v>
      </c>
      <c r="BH52" s="51">
        <f t="shared" si="37"/>
        <v>4006.5013014903652</v>
      </c>
      <c r="BI52" s="51">
        <f t="shared" si="37"/>
        <v>4046.566314505269</v>
      </c>
      <c r="BJ52" s="51">
        <f t="shared" si="37"/>
        <v>4087.0319776503216</v>
      </c>
      <c r="BK52" s="51">
        <f t="shared" si="37"/>
        <v>4127.9022974268246</v>
      </c>
      <c r="BL52" s="51">
        <f t="shared" si="37"/>
        <v>4169.1813204010932</v>
      </c>
      <c r="BM52" s="51">
        <f t="shared" si="37"/>
        <v>4210.8731336051042</v>
      </c>
      <c r="BN52" s="51">
        <f t="shared" si="37"/>
        <v>4252.9818649411554</v>
      </c>
      <c r="BO52" s="51">
        <f t="shared" si="37"/>
        <v>4295.5116835905674</v>
      </c>
      <c r="BP52" s="51">
        <f t="shared" si="37"/>
        <v>4338.4668004264731</v>
      </c>
      <c r="BQ52" s="51">
        <f t="shared" si="37"/>
        <v>4381.8514684307384</v>
      </c>
      <c r="BR52" s="51">
        <f t="shared" si="37"/>
        <v>4425.6699831150454</v>
      </c>
      <c r="BS52" s="51">
        <f t="shared" si="37"/>
        <v>4469.9266829461958</v>
      </c>
      <c r="BT52" s="51">
        <f t="shared" si="37"/>
        <v>4514.6259497756582</v>
      </c>
      <c r="BU52" s="51">
        <f t="shared" si="37"/>
        <v>4559.7722092734148</v>
      </c>
      <c r="BV52" s="51">
        <f t="shared" si="37"/>
        <v>4605.3699313661491</v>
      </c>
      <c r="BW52" s="51">
        <f t="shared" si="37"/>
        <v>4651.4236306798102</v>
      </c>
      <c r="BX52" s="51">
        <f t="shared" si="37"/>
        <v>4697.9378669866082</v>
      </c>
      <c r="BY52" s="51">
        <f t="shared" si="37"/>
        <v>4744.9172456564747</v>
      </c>
      <c r="BZ52" s="51">
        <f t="shared" si="37"/>
        <v>4792.3664181130398</v>
      </c>
      <c r="CA52" s="51">
        <f t="shared" si="37"/>
        <v>4840.2900822941701</v>
      </c>
      <c r="CB52" s="51">
        <f t="shared" si="37"/>
        <v>4888.6929831171119</v>
      </c>
      <c r="CC52" s="51">
        <f t="shared" si="37"/>
        <v>4937.579912948283</v>
      </c>
      <c r="CD52" s="51">
        <f t="shared" si="37"/>
        <v>4986.9557120777663</v>
      </c>
      <c r="CE52" s="51">
        <f t="shared" si="37"/>
        <v>5036.8252691985444</v>
      </c>
      <c r="CF52" s="51">
        <f t="shared" ref="CF52:CH52" si="38">CE52*(1+$E$6)</f>
        <v>5087.1935218905301</v>
      </c>
      <c r="CG52" s="51">
        <f t="shared" si="38"/>
        <v>5138.0654571094356</v>
      </c>
      <c r="CH52" s="51">
        <f t="shared" si="38"/>
        <v>5189.4461116805296</v>
      </c>
    </row>
    <row r="53" spans="1:86" s="50" customFormat="1" x14ac:dyDescent="0.25">
      <c r="A53" s="1"/>
      <c r="B53" s="6"/>
      <c r="C53" s="11"/>
      <c r="D53" s="11"/>
      <c r="E53" s="11"/>
      <c r="F53" s="11"/>
      <c r="G53" s="11"/>
      <c r="H53" s="11"/>
      <c r="I53" s="86"/>
      <c r="J53" s="76"/>
      <c r="K53" s="76"/>
      <c r="L53" s="76"/>
      <c r="M53" s="76"/>
      <c r="N53" s="76"/>
      <c r="O53" s="76"/>
      <c r="P53" s="76"/>
      <c r="Q53" s="76"/>
      <c r="R53" s="76"/>
    </row>
    <row r="54" spans="1:86" s="50" customFormat="1" x14ac:dyDescent="0.25">
      <c r="A54" s="1"/>
      <c r="B54" s="9" t="s">
        <v>26</v>
      </c>
      <c r="C54" s="22">
        <f>C50+C41+C44-C47</f>
        <v>334.90600000000006</v>
      </c>
      <c r="D54" s="22">
        <f t="shared" ref="D54:R54" si="39">D50+D41+D44-D47</f>
        <v>300.685</v>
      </c>
      <c r="E54" s="22">
        <f t="shared" si="39"/>
        <v>431.10500000000002</v>
      </c>
      <c r="F54" s="22">
        <f t="shared" si="39"/>
        <v>-16</v>
      </c>
      <c r="G54" s="22">
        <f t="shared" si="39"/>
        <v>2051</v>
      </c>
      <c r="H54" s="22">
        <f>H50+H41+H44-H47</f>
        <v>2277</v>
      </c>
      <c r="I54" s="89">
        <f t="shared" si="39"/>
        <v>1691.0900270215329</v>
      </c>
      <c r="J54" s="81">
        <f t="shared" si="39"/>
        <v>2093.3548758155439</v>
      </c>
      <c r="K54" s="81">
        <f t="shared" si="39"/>
        <v>2263.025820099806</v>
      </c>
      <c r="L54" s="81">
        <f t="shared" si="39"/>
        <v>2316.8917336660197</v>
      </c>
      <c r="M54" s="81">
        <f t="shared" si="39"/>
        <v>2527.1037348082432</v>
      </c>
      <c r="N54" s="81">
        <f t="shared" si="39"/>
        <v>2541.9744771832557</v>
      </c>
      <c r="O54" s="81">
        <f t="shared" si="39"/>
        <v>2750.0329958414195</v>
      </c>
      <c r="P54" s="81">
        <f t="shared" si="39"/>
        <v>2823.123183809259</v>
      </c>
      <c r="Q54" s="81">
        <f t="shared" si="39"/>
        <v>2784.5849024674253</v>
      </c>
      <c r="R54" s="81">
        <f t="shared" si="39"/>
        <v>3015.2462542833382</v>
      </c>
    </row>
    <row r="55" spans="1:86" s="50" customFormat="1" x14ac:dyDescent="0.25">
      <c r="A55" s="1"/>
      <c r="B55" s="23" t="s">
        <v>27</v>
      </c>
      <c r="C55" s="1"/>
      <c r="D55" s="1"/>
      <c r="E55" s="1"/>
      <c r="F55" s="1"/>
      <c r="G55" s="1"/>
      <c r="H55" s="1"/>
      <c r="I55" s="52">
        <f>I54/((1+$E$5)^I9)</f>
        <v>1488.2283813060706</v>
      </c>
      <c r="J55" s="18">
        <f>J54/((1+$E$5)^J9)</f>
        <v>1621.2446898408634</v>
      </c>
      <c r="K55" s="18">
        <f>K54/((1+$E$5)^K9)</f>
        <v>1542.4037468034453</v>
      </c>
      <c r="L55" s="18">
        <f>L54/((1+$E$5)^L9)</f>
        <v>1389.6875177476313</v>
      </c>
      <c r="M55" s="18">
        <f>M54/((1+$E$5)^M9)</f>
        <v>1333.9432088253623</v>
      </c>
      <c r="N55" s="18">
        <f>N54/((1+$E$5)^N9)</f>
        <v>1180.8325350632749</v>
      </c>
      <c r="O55" s="18">
        <f>O54/((1+$E$5)^O9)</f>
        <v>1124.2370243388998</v>
      </c>
      <c r="P55" s="18">
        <f>P54/((1+$E$5)^P9)</f>
        <v>1015.6700863483935</v>
      </c>
      <c r="Q55" s="18">
        <f>Q54/((1+$E$5)^Q9)</f>
        <v>881.62957702928134</v>
      </c>
      <c r="R55" s="18">
        <f>R54/((1+$E$5)^R9)</f>
        <v>840.13935333769871</v>
      </c>
    </row>
    <row r="56" spans="1:86" s="50" customFormat="1" x14ac:dyDescent="0.25">
      <c r="A56" s="1"/>
      <c r="B56" s="24"/>
      <c r="C56" s="24"/>
      <c r="D56" s="24"/>
      <c r="E56" s="24"/>
      <c r="F56" s="24"/>
      <c r="G56" s="24"/>
      <c r="H56" s="24"/>
      <c r="I56" s="53"/>
      <c r="J56" s="24"/>
      <c r="K56" s="24"/>
      <c r="L56" s="24"/>
      <c r="M56" s="24"/>
      <c r="N56" s="24"/>
      <c r="O56" s="24"/>
      <c r="P56" s="24"/>
      <c r="Q56" s="24"/>
      <c r="R56" s="24"/>
    </row>
    <row r="57" spans="1:86" s="50" customFormat="1" x14ac:dyDescent="0.25">
      <c r="A57" s="1"/>
      <c r="B57" s="1" t="s">
        <v>28</v>
      </c>
      <c r="C57" s="25">
        <f>(R54*(1+$E$6))/($E$5-$E$6)</f>
        <v>24110.353162742005</v>
      </c>
      <c r="D57" s="1"/>
      <c r="E57" s="1" t="s">
        <v>29</v>
      </c>
      <c r="F57" s="18">
        <f>NPV($E$5,I52:CH52)</f>
        <v>11730.909922788935</v>
      </c>
      <c r="G57" s="1"/>
      <c r="H57" s="1"/>
      <c r="I57" s="12"/>
      <c r="J57" s="1"/>
      <c r="K57" s="1"/>
      <c r="L57" s="1"/>
      <c r="M57" s="1"/>
      <c r="N57" s="1"/>
      <c r="O57" s="1"/>
      <c r="P57" s="1"/>
      <c r="Q57" s="1"/>
      <c r="R57" s="2"/>
    </row>
    <row r="58" spans="1:86" s="50" customFormat="1" x14ac:dyDescent="0.25">
      <c r="A58" s="1"/>
      <c r="B58" s="3" t="s">
        <v>30</v>
      </c>
      <c r="C58" s="26">
        <f>C57/((1+$E$5)^$R$9)</f>
        <v>6717.8780128205663</v>
      </c>
      <c r="D58" s="16"/>
      <c r="E58" s="3"/>
      <c r="F58" s="3"/>
      <c r="G58" s="3"/>
      <c r="H58" s="16"/>
      <c r="I58" s="12"/>
      <c r="J58" s="70"/>
      <c r="K58" s="2"/>
      <c r="L58" s="54" t="s">
        <v>51</v>
      </c>
      <c r="M58" s="55"/>
      <c r="N58" s="55"/>
      <c r="O58" s="55"/>
      <c r="P58" s="55"/>
      <c r="Q58" s="54"/>
      <c r="R58" s="71"/>
    </row>
    <row r="59" spans="1:86" x14ac:dyDescent="0.25">
      <c r="A59" s="1"/>
      <c r="B59" s="6" t="s">
        <v>31</v>
      </c>
      <c r="C59" s="6"/>
      <c r="D59" s="1"/>
      <c r="E59" s="6"/>
      <c r="F59" s="6"/>
      <c r="G59" s="27" t="s">
        <v>32</v>
      </c>
      <c r="H59" s="27" t="s">
        <v>29</v>
      </c>
      <c r="I59" s="12"/>
      <c r="J59" s="70"/>
      <c r="K59" s="54"/>
      <c r="L59" s="59">
        <f>E65</f>
        <v>61.402207317967608</v>
      </c>
      <c r="M59" s="82">
        <v>-0.01</v>
      </c>
      <c r="N59" s="82">
        <v>0</v>
      </c>
      <c r="O59" s="82">
        <v>0.01</v>
      </c>
      <c r="P59" s="82">
        <v>0.02</v>
      </c>
      <c r="Q59" s="82">
        <v>0.03</v>
      </c>
      <c r="R59" s="71"/>
    </row>
    <row r="60" spans="1:86" x14ac:dyDescent="0.25">
      <c r="A60" s="1"/>
      <c r="B60" s="28" t="s">
        <v>33</v>
      </c>
      <c r="C60" s="1"/>
      <c r="D60">
        <f>965+155</f>
        <v>1120</v>
      </c>
      <c r="E60" s="1"/>
      <c r="F60" s="1"/>
      <c r="G60" s="25">
        <f>C58+SUM(I55:R55)</f>
        <v>19135.894133461486</v>
      </c>
      <c r="H60" s="18">
        <f>F57</f>
        <v>11730.909922788935</v>
      </c>
      <c r="I60" s="15"/>
      <c r="K60" s="54"/>
      <c r="L60" s="56">
        <f>L61-1%</f>
        <v>0.11631082988582099</v>
      </c>
      <c r="M60" s="60">
        <f t="dataTable" ref="M60:Q64" dt2D="1" dtr="1" r1="E6" r2="E5"/>
        <v>70.251928289773332</v>
      </c>
      <c r="N60" s="60">
        <v>73.488836248528401</v>
      </c>
      <c r="O60" s="60">
        <v>77.327691633640598</v>
      </c>
      <c r="P60" s="60">
        <v>81.948679250451619</v>
      </c>
      <c r="Q60" s="60">
        <v>87.607975950833406</v>
      </c>
    </row>
    <row r="61" spans="1:86" x14ac:dyDescent="0.25">
      <c r="A61" s="1"/>
      <c r="B61" s="29" t="s">
        <v>34</v>
      </c>
      <c r="C61" s="3"/>
      <c r="D61" s="37">
        <f>2377-285</f>
        <v>2092</v>
      </c>
      <c r="E61" s="3"/>
      <c r="F61" s="3"/>
      <c r="G61" s="3"/>
      <c r="H61" s="3"/>
      <c r="I61" s="15"/>
      <c r="K61" s="55"/>
      <c r="L61" s="56">
        <f>L62-1%</f>
        <v>0.12631082988582099</v>
      </c>
      <c r="M61" s="60">
        <v>63.098515406376222</v>
      </c>
      <c r="N61" s="61">
        <v>65.649817096670006</v>
      </c>
      <c r="O61" s="61">
        <v>68.636629724890867</v>
      </c>
      <c r="P61" s="61">
        <v>72.178544688064562</v>
      </c>
      <c r="Q61" s="60">
        <v>76.441464151566052</v>
      </c>
      <c r="R61" s="46"/>
    </row>
    <row r="62" spans="1:86" x14ac:dyDescent="0.25">
      <c r="A62" s="1"/>
      <c r="B62" s="6" t="s">
        <v>35</v>
      </c>
      <c r="C62" s="6"/>
      <c r="D62" s="6"/>
      <c r="E62" s="6"/>
      <c r="F62" s="6"/>
      <c r="G62" s="30">
        <f>G60+D60-D61</f>
        <v>18163.894133461486</v>
      </c>
      <c r="H62" s="31">
        <f>H60+D60-D61</f>
        <v>10758.909922788935</v>
      </c>
      <c r="I62" s="15"/>
      <c r="K62" s="54" t="s">
        <v>1</v>
      </c>
      <c r="L62" s="56">
        <v>0.13631082988582099</v>
      </c>
      <c r="M62" s="60">
        <v>57.011026587788578</v>
      </c>
      <c r="N62" s="61">
        <v>59.046228282090546</v>
      </c>
      <c r="O62" s="62">
        <v>61.402207317967608</v>
      </c>
      <c r="P62" s="61">
        <v>64.160185187495742</v>
      </c>
      <c r="Q62" s="60">
        <v>67.430416645832437</v>
      </c>
    </row>
    <row r="63" spans="1:86" x14ac:dyDescent="0.25">
      <c r="A63" s="1"/>
      <c r="B63" s="3" t="s">
        <v>36</v>
      </c>
      <c r="C63" s="3"/>
      <c r="D63" s="69">
        <f>215204165/1000000</f>
        <v>215.20416499999999</v>
      </c>
      <c r="E63" s="3"/>
      <c r="F63" s="3"/>
      <c r="G63" s="3"/>
      <c r="H63" s="32"/>
      <c r="I63" s="15"/>
      <c r="K63" s="54"/>
      <c r="L63" s="57">
        <f>L62+0.5%</f>
        <v>0.141310829885821</v>
      </c>
      <c r="M63" s="60">
        <v>54.299185037025993</v>
      </c>
      <c r="N63" s="61">
        <v>56.124273165195149</v>
      </c>
      <c r="O63" s="61">
        <v>58.226333329916869</v>
      </c>
      <c r="P63" s="61">
        <v>60.672827991959579</v>
      </c>
      <c r="Q63" s="60">
        <v>63.554427197771773</v>
      </c>
    </row>
    <row r="64" spans="1:86" x14ac:dyDescent="0.25">
      <c r="A64" s="1"/>
      <c r="B64" s="17" t="s">
        <v>37</v>
      </c>
      <c r="C64" s="17"/>
      <c r="D64" s="63">
        <f>D63*$J$5</f>
        <v>10424.489752599999</v>
      </c>
      <c r="E64" s="17"/>
      <c r="F64" s="17"/>
      <c r="G64" s="17"/>
      <c r="H64" s="33"/>
      <c r="I64" s="1"/>
      <c r="K64" s="54"/>
      <c r="L64" s="57">
        <f>L63+0.5%</f>
        <v>0.146310829885821</v>
      </c>
      <c r="M64" s="60">
        <v>51.779403102190912</v>
      </c>
      <c r="N64" s="60">
        <v>53.420127388298667</v>
      </c>
      <c r="O64" s="60">
        <v>55.300894119042873</v>
      </c>
      <c r="P64" s="60">
        <v>57.478010592631392</v>
      </c>
      <c r="Q64" s="60">
        <v>60.026443975141525</v>
      </c>
    </row>
    <row r="65" spans="1:9" x14ac:dyDescent="0.25">
      <c r="A65" s="1"/>
      <c r="B65" s="6" t="s">
        <v>38</v>
      </c>
      <c r="D65" s="6" t="s">
        <v>39</v>
      </c>
      <c r="E65" s="34">
        <f>(G65*0.333+H65*0.666)</f>
        <v>61.402207317967608</v>
      </c>
      <c r="F65" s="6"/>
      <c r="G65" s="34">
        <f>G62/D63</f>
        <v>84.403078971364181</v>
      </c>
      <c r="H65" s="35">
        <f>H62/D63</f>
        <v>49.993966997752743</v>
      </c>
      <c r="I65" s="15"/>
    </row>
    <row r="66" spans="1:9" x14ac:dyDescent="0.25">
      <c r="B66" s="39"/>
      <c r="C66" s="39"/>
      <c r="D66" s="39"/>
      <c r="E66" s="39"/>
      <c r="F66" s="39"/>
      <c r="G66" s="39"/>
      <c r="H66" s="39"/>
      <c r="I66" s="20"/>
    </row>
  </sheetData>
  <sortState xmlns:xlrd2="http://schemas.microsoft.com/office/spreadsheetml/2017/richdata2" columnSort="1" ref="C10:H55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D8" sqref="D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2" x14ac:dyDescent="0.25">
      <c r="A4" s="41" t="s">
        <v>40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2">
        <v>0.22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3">
        <v>2.1800000000000002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21">
        <f>CZR!D64</f>
        <v>10424.489752599999</v>
      </c>
      <c r="D12" s="2"/>
      <c r="E12" s="2" t="s">
        <v>34</v>
      </c>
      <c r="F12" s="2"/>
      <c r="G12" s="21">
        <f>CZR!D61</f>
        <v>2092</v>
      </c>
      <c r="H12" s="2"/>
      <c r="I12" s="2" t="s">
        <v>45</v>
      </c>
      <c r="J12" s="2"/>
      <c r="K12" s="21">
        <f>G12+C12</f>
        <v>12516.489752599999</v>
      </c>
      <c r="L12" s="2"/>
    </row>
    <row r="13" spans="1:12" x14ac:dyDescent="0.25">
      <c r="A13" s="2" t="s">
        <v>46</v>
      </c>
      <c r="B13" s="2"/>
      <c r="C13" s="44">
        <f>C12/K12</f>
        <v>0.83286048713734318</v>
      </c>
      <c r="D13" s="2"/>
      <c r="E13" s="2" t="s">
        <v>47</v>
      </c>
      <c r="F13" s="2"/>
      <c r="G13" s="45">
        <f>G12/K12</f>
        <v>0.16713951286265685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6">
        <f>D7+D8*(D9)</f>
        <v>0.1678</v>
      </c>
      <c r="D14" s="2"/>
      <c r="E14" s="2" t="s">
        <v>49</v>
      </c>
      <c r="F14" s="2"/>
      <c r="G14" s="45">
        <v>0.127</v>
      </c>
      <c r="H14" s="2"/>
      <c r="I14" s="47" t="s">
        <v>1</v>
      </c>
      <c r="J14" s="48"/>
      <c r="K14" s="49">
        <f>C13*C14+G14*G13*(1-D6)</f>
        <v>0.15631082988582098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F930-2840-4B79-A352-9B0E0774719E}">
  <dimension ref="A1:P47"/>
  <sheetViews>
    <sheetView topLeftCell="A7" workbookViewId="0">
      <selection activeCell="E36" sqref="E36"/>
    </sheetView>
  </sheetViews>
  <sheetFormatPr defaultRowHeight="15" x14ac:dyDescent="0.25"/>
  <cols>
    <col min="1" max="1" width="31.42578125" customWidth="1"/>
    <col min="9" max="9" width="42.42578125" customWidth="1"/>
  </cols>
  <sheetData>
    <row r="1" spans="1:14" x14ac:dyDescent="0.25">
      <c r="A1" t="s">
        <v>52</v>
      </c>
      <c r="I1" t="s">
        <v>138</v>
      </c>
    </row>
    <row r="4" spans="1:14" x14ac:dyDescent="0.25">
      <c r="D4" t="s">
        <v>53</v>
      </c>
      <c r="J4" t="s">
        <v>139</v>
      </c>
      <c r="K4" t="s">
        <v>140</v>
      </c>
      <c r="L4" t="s">
        <v>141</v>
      </c>
    </row>
    <row r="5" spans="1:14" x14ac:dyDescent="0.25">
      <c r="A5" t="s">
        <v>54</v>
      </c>
      <c r="D5" t="s">
        <v>55</v>
      </c>
      <c r="E5" t="s">
        <v>56</v>
      </c>
      <c r="F5" t="s">
        <v>57</v>
      </c>
      <c r="I5" t="s">
        <v>58</v>
      </c>
    </row>
    <row r="6" spans="1:14" x14ac:dyDescent="0.25">
      <c r="A6" t="s">
        <v>58</v>
      </c>
      <c r="I6" t="s">
        <v>142</v>
      </c>
      <c r="J6">
        <v>1099027</v>
      </c>
      <c r="K6">
        <v>1553378</v>
      </c>
      <c r="L6">
        <v>1808186</v>
      </c>
    </row>
    <row r="7" spans="1:14" x14ac:dyDescent="0.25">
      <c r="A7" t="s">
        <v>59</v>
      </c>
      <c r="D7">
        <v>2482</v>
      </c>
      <c r="E7">
        <v>5827</v>
      </c>
      <c r="F7">
        <v>5997</v>
      </c>
      <c r="I7" t="s">
        <v>60</v>
      </c>
      <c r="J7">
        <v>198246</v>
      </c>
      <c r="K7">
        <v>247339</v>
      </c>
      <c r="L7">
        <v>301417</v>
      </c>
    </row>
    <row r="8" spans="1:14" x14ac:dyDescent="0.25">
      <c r="A8" t="s">
        <v>60</v>
      </c>
      <c r="D8">
        <v>342</v>
      </c>
      <c r="E8">
        <v>1140</v>
      </c>
      <c r="F8">
        <v>1596</v>
      </c>
      <c r="I8" t="s">
        <v>61</v>
      </c>
      <c r="J8">
        <v>133338</v>
      </c>
      <c r="K8">
        <v>183804</v>
      </c>
      <c r="L8">
        <v>299908</v>
      </c>
    </row>
    <row r="9" spans="1:14" x14ac:dyDescent="0.25">
      <c r="A9" t="s">
        <v>61</v>
      </c>
      <c r="D9">
        <v>450</v>
      </c>
      <c r="E9">
        <v>1551</v>
      </c>
      <c r="F9">
        <v>1957</v>
      </c>
      <c r="I9" t="s">
        <v>62</v>
      </c>
      <c r="J9">
        <v>50187</v>
      </c>
      <c r="K9">
        <v>71486</v>
      </c>
      <c r="L9">
        <v>118738</v>
      </c>
    </row>
    <row r="10" spans="1:14" x14ac:dyDescent="0.25">
      <c r="A10" t="s">
        <v>62</v>
      </c>
      <c r="D10">
        <v>354</v>
      </c>
      <c r="E10">
        <v>1052</v>
      </c>
      <c r="F10">
        <v>1271</v>
      </c>
      <c r="I10" t="s">
        <v>63</v>
      </c>
      <c r="J10">
        <v>1480798</v>
      </c>
      <c r="K10">
        <v>2056007</v>
      </c>
      <c r="L10">
        <v>2528249</v>
      </c>
    </row>
    <row r="11" spans="1:14" x14ac:dyDescent="0.25">
      <c r="A11" t="s">
        <v>63</v>
      </c>
      <c r="D11">
        <v>3628</v>
      </c>
      <c r="E11">
        <v>9570</v>
      </c>
      <c r="F11">
        <v>10821</v>
      </c>
      <c r="I11" t="s">
        <v>64</v>
      </c>
    </row>
    <row r="12" spans="1:14" x14ac:dyDescent="0.25">
      <c r="A12" t="s">
        <v>64</v>
      </c>
      <c r="I12" t="s">
        <v>142</v>
      </c>
      <c r="J12">
        <v>561089</v>
      </c>
      <c r="K12">
        <v>749289</v>
      </c>
      <c r="L12">
        <v>802327</v>
      </c>
      <c r="N12">
        <f>SUM(J12:J15)</f>
        <v>813668</v>
      </c>
    </row>
    <row r="13" spans="1:14" x14ac:dyDescent="0.25">
      <c r="A13" t="s">
        <v>59</v>
      </c>
      <c r="D13">
        <v>1271</v>
      </c>
      <c r="E13">
        <v>3129</v>
      </c>
      <c r="F13">
        <v>3526</v>
      </c>
      <c r="I13" t="s">
        <v>60</v>
      </c>
      <c r="J13">
        <v>169848</v>
      </c>
      <c r="K13">
        <v>202618</v>
      </c>
      <c r="L13">
        <v>238661</v>
      </c>
    </row>
    <row r="14" spans="1:14" x14ac:dyDescent="0.25">
      <c r="A14" t="s">
        <v>60</v>
      </c>
      <c r="D14">
        <v>265</v>
      </c>
      <c r="E14">
        <v>707</v>
      </c>
      <c r="F14">
        <v>935</v>
      </c>
      <c r="I14" t="s">
        <v>61</v>
      </c>
      <c r="J14">
        <v>50575</v>
      </c>
      <c r="K14">
        <v>65009</v>
      </c>
      <c r="L14">
        <v>99223</v>
      </c>
    </row>
    <row r="15" spans="1:14" x14ac:dyDescent="0.25">
      <c r="A15" t="s">
        <v>61</v>
      </c>
      <c r="D15">
        <v>170</v>
      </c>
      <c r="E15">
        <v>438</v>
      </c>
      <c r="F15">
        <v>529</v>
      </c>
      <c r="I15" t="s">
        <v>62</v>
      </c>
      <c r="J15">
        <v>32156</v>
      </c>
      <c r="K15">
        <v>38676</v>
      </c>
      <c r="L15">
        <v>45938</v>
      </c>
    </row>
    <row r="16" spans="1:14" x14ac:dyDescent="0.25">
      <c r="A16" t="s">
        <v>62</v>
      </c>
      <c r="D16">
        <v>140</v>
      </c>
      <c r="E16">
        <v>373</v>
      </c>
      <c r="F16">
        <v>411</v>
      </c>
      <c r="I16" t="s">
        <v>143</v>
      </c>
      <c r="J16">
        <v>83174</v>
      </c>
      <c r="K16">
        <v>106161</v>
      </c>
      <c r="L16">
        <v>129373</v>
      </c>
    </row>
    <row r="17" spans="1:16" x14ac:dyDescent="0.25">
      <c r="A17" t="s">
        <v>65</v>
      </c>
      <c r="D17">
        <v>902</v>
      </c>
      <c r="E17">
        <v>1782</v>
      </c>
      <c r="F17">
        <v>2068</v>
      </c>
      <c r="I17" t="s">
        <v>65</v>
      </c>
      <c r="J17">
        <v>241037</v>
      </c>
      <c r="K17">
        <v>349598</v>
      </c>
      <c r="L17">
        <v>476751</v>
      </c>
      <c r="N17">
        <f>SUM(J18:J20)/1000</f>
        <v>174.64599999999999</v>
      </c>
      <c r="O17">
        <f t="shared" ref="O17:P17" si="0">SUM(K18:K20)/1000</f>
        <v>217.66300000000001</v>
      </c>
      <c r="P17">
        <f t="shared" si="0"/>
        <v>288.47899999999998</v>
      </c>
    </row>
    <row r="18" spans="1:16" x14ac:dyDescent="0.25">
      <c r="A18" t="s">
        <v>66</v>
      </c>
      <c r="D18">
        <v>195</v>
      </c>
      <c r="E18">
        <v>309</v>
      </c>
      <c r="F18">
        <v>286</v>
      </c>
      <c r="I18" t="s">
        <v>66</v>
      </c>
      <c r="J18">
        <v>30739</v>
      </c>
      <c r="K18">
        <v>46632</v>
      </c>
      <c r="L18">
        <v>65996</v>
      </c>
    </row>
    <row r="19" spans="1:16" x14ac:dyDescent="0.25">
      <c r="A19" t="s">
        <v>67</v>
      </c>
      <c r="D19">
        <v>215</v>
      </c>
      <c r="E19">
        <v>102</v>
      </c>
      <c r="F19">
        <v>108</v>
      </c>
      <c r="I19" t="s">
        <v>67</v>
      </c>
      <c r="J19">
        <v>38016</v>
      </c>
      <c r="K19">
        <v>13602</v>
      </c>
      <c r="L19">
        <v>958</v>
      </c>
      <c r="N19">
        <f>SUM(D18:D21)</f>
        <v>1263</v>
      </c>
      <c r="O19">
        <f t="shared" ref="O19:P19" si="1">SUM(E18:E21)</f>
        <v>1681</v>
      </c>
      <c r="P19">
        <f t="shared" si="1"/>
        <v>1613</v>
      </c>
    </row>
    <row r="20" spans="1:16" x14ac:dyDescent="0.25">
      <c r="A20" t="s">
        <v>68</v>
      </c>
      <c r="D20">
        <v>583</v>
      </c>
      <c r="E20">
        <v>1126</v>
      </c>
      <c r="F20">
        <v>1205</v>
      </c>
      <c r="I20" t="s">
        <v>68</v>
      </c>
      <c r="J20">
        <v>105891</v>
      </c>
      <c r="K20">
        <v>157429</v>
      </c>
      <c r="L20">
        <v>221525</v>
      </c>
    </row>
    <row r="21" spans="1:16" x14ac:dyDescent="0.25">
      <c r="A21" t="s">
        <v>69</v>
      </c>
      <c r="D21">
        <v>270</v>
      </c>
      <c r="E21">
        <v>144</v>
      </c>
      <c r="F21">
        <v>14</v>
      </c>
      <c r="I21" t="s">
        <v>70</v>
      </c>
      <c r="J21">
        <v>1312525</v>
      </c>
      <c r="K21">
        <v>1729014</v>
      </c>
      <c r="L21">
        <v>2080752</v>
      </c>
      <c r="N21">
        <f>J21/1000</f>
        <v>1312.5250000000001</v>
      </c>
      <c r="O21">
        <f t="shared" ref="O21:P21" si="2">K21/1000</f>
        <v>1729.0139999999999</v>
      </c>
      <c r="P21">
        <f t="shared" si="2"/>
        <v>2080.752</v>
      </c>
    </row>
    <row r="22" spans="1:16" x14ac:dyDescent="0.25">
      <c r="A22" t="s">
        <v>70</v>
      </c>
      <c r="D22">
        <v>4011</v>
      </c>
      <c r="E22">
        <v>8110</v>
      </c>
      <c r="F22">
        <v>9082</v>
      </c>
      <c r="I22" t="s">
        <v>144</v>
      </c>
      <c r="J22">
        <v>-319</v>
      </c>
      <c r="K22">
        <v>-835</v>
      </c>
      <c r="L22">
        <v>49575</v>
      </c>
    </row>
    <row r="23" spans="1:16" x14ac:dyDescent="0.25">
      <c r="I23" t="s">
        <v>145</v>
      </c>
      <c r="J23">
        <v>20000</v>
      </c>
      <c r="K23">
        <v>5000</v>
      </c>
      <c r="L23" t="s">
        <v>108</v>
      </c>
    </row>
    <row r="24" spans="1:16" x14ac:dyDescent="0.25">
      <c r="I24" t="s">
        <v>146</v>
      </c>
      <c r="J24">
        <v>-92777</v>
      </c>
      <c r="K24">
        <v>-20842</v>
      </c>
      <c r="L24">
        <v>-84658</v>
      </c>
      <c r="N24">
        <f>SUM(J22:J25,J28:J30)/1000</f>
        <v>-211.66200000000001</v>
      </c>
    </row>
    <row r="25" spans="1:16" x14ac:dyDescent="0.25">
      <c r="I25" t="s">
        <v>147</v>
      </c>
      <c r="J25">
        <v>-367</v>
      </c>
      <c r="K25">
        <v>-213</v>
      </c>
      <c r="L25">
        <v>-2441</v>
      </c>
    </row>
    <row r="26" spans="1:16" x14ac:dyDescent="0.25">
      <c r="A26" t="s">
        <v>71</v>
      </c>
      <c r="D26">
        <v>-383</v>
      </c>
      <c r="E26">
        <v>1460</v>
      </c>
      <c r="F26">
        <v>1739</v>
      </c>
      <c r="I26" t="s">
        <v>14</v>
      </c>
      <c r="J26">
        <v>94810</v>
      </c>
      <c r="K26">
        <v>310103</v>
      </c>
      <c r="L26">
        <v>409973</v>
      </c>
    </row>
    <row r="27" spans="1:16" x14ac:dyDescent="0.25">
      <c r="A27" t="s">
        <v>72</v>
      </c>
      <c r="I27" t="s">
        <v>72</v>
      </c>
    </row>
    <row r="28" spans="1:16" x14ac:dyDescent="0.25">
      <c r="A28" t="s">
        <v>73</v>
      </c>
      <c r="D28">
        <v>-1202</v>
      </c>
      <c r="E28">
        <v>-2295</v>
      </c>
      <c r="F28">
        <v>-2265</v>
      </c>
      <c r="I28" t="s">
        <v>73</v>
      </c>
      <c r="J28">
        <v>-99769</v>
      </c>
      <c r="K28">
        <v>-171732</v>
      </c>
      <c r="L28">
        <v>-286248</v>
      </c>
    </row>
    <row r="29" spans="1:16" x14ac:dyDescent="0.25">
      <c r="A29" t="s">
        <v>74</v>
      </c>
      <c r="D29">
        <v>-197</v>
      </c>
      <c r="E29">
        <v>-236</v>
      </c>
      <c r="F29">
        <v>-85</v>
      </c>
      <c r="I29" t="s">
        <v>148</v>
      </c>
      <c r="J29">
        <v>-38430</v>
      </c>
      <c r="K29">
        <v>-162</v>
      </c>
      <c r="L29">
        <v>-7512</v>
      </c>
    </row>
    <row r="30" spans="1:16" x14ac:dyDescent="0.25">
      <c r="A30" t="s">
        <v>75</v>
      </c>
      <c r="D30">
        <v>176</v>
      </c>
      <c r="E30">
        <v>-198</v>
      </c>
      <c r="F30">
        <v>46</v>
      </c>
      <c r="I30" t="s">
        <v>149</v>
      </c>
      <c r="J30" t="s">
        <v>108</v>
      </c>
      <c r="K30">
        <v>-2587</v>
      </c>
      <c r="L30">
        <v>8765</v>
      </c>
    </row>
    <row r="31" spans="1:16" x14ac:dyDescent="0.25">
      <c r="A31" t="s">
        <v>76</v>
      </c>
      <c r="D31">
        <v>-1223</v>
      </c>
      <c r="E31">
        <v>-2729</v>
      </c>
      <c r="F31">
        <v>-2304</v>
      </c>
      <c r="I31" t="s">
        <v>76</v>
      </c>
      <c r="J31">
        <v>-138199</v>
      </c>
      <c r="K31">
        <v>-174481</v>
      </c>
      <c r="L31">
        <v>-284995</v>
      </c>
    </row>
    <row r="32" spans="1:16" x14ac:dyDescent="0.25">
      <c r="A32" t="s">
        <v>77</v>
      </c>
      <c r="D32">
        <v>-1606</v>
      </c>
      <c r="E32">
        <v>-1269</v>
      </c>
      <c r="F32">
        <v>-565</v>
      </c>
      <c r="I32" t="s">
        <v>150</v>
      </c>
      <c r="J32">
        <v>-43389</v>
      </c>
      <c r="K32">
        <v>135622</v>
      </c>
      <c r="L32">
        <v>124978</v>
      </c>
    </row>
    <row r="33" spans="1:12" x14ac:dyDescent="0.25">
      <c r="A33" t="s">
        <v>78</v>
      </c>
      <c r="D33">
        <v>-132</v>
      </c>
      <c r="E33">
        <v>283</v>
      </c>
      <c r="F33">
        <v>41</v>
      </c>
      <c r="I33" t="s">
        <v>151</v>
      </c>
      <c r="J33">
        <v>116769</v>
      </c>
      <c r="K33">
        <v>-40387</v>
      </c>
      <c r="L33">
        <v>-43977</v>
      </c>
    </row>
    <row r="34" spans="1:12" x14ac:dyDescent="0.25">
      <c r="A34" t="s">
        <v>79</v>
      </c>
      <c r="D34">
        <v>-1738</v>
      </c>
      <c r="E34">
        <v>-986</v>
      </c>
      <c r="F34">
        <v>-524</v>
      </c>
      <c r="I34" t="s">
        <v>25</v>
      </c>
      <c r="J34">
        <v>73380</v>
      </c>
      <c r="K34">
        <v>95235</v>
      </c>
      <c r="L34">
        <v>81001</v>
      </c>
    </row>
    <row r="35" spans="1:12" x14ac:dyDescent="0.25">
      <c r="A35" t="s">
        <v>80</v>
      </c>
      <c r="D35">
        <v>-20</v>
      </c>
      <c r="E35">
        <v>-30</v>
      </c>
      <c r="F35">
        <v>-386</v>
      </c>
      <c r="I35" t="s">
        <v>152</v>
      </c>
    </row>
    <row r="36" spans="1:12" x14ac:dyDescent="0.25">
      <c r="A36" t="s">
        <v>81</v>
      </c>
      <c r="D36">
        <v>-1758</v>
      </c>
      <c r="E36">
        <v>-1016</v>
      </c>
      <c r="F36">
        <v>-910</v>
      </c>
      <c r="I36" t="s">
        <v>153</v>
      </c>
      <c r="J36">
        <v>1.0900000000000001</v>
      </c>
      <c r="K36">
        <v>1.23</v>
      </c>
      <c r="L36">
        <v>1.04</v>
      </c>
    </row>
    <row r="37" spans="1:12" x14ac:dyDescent="0.25">
      <c r="A37" t="s">
        <v>82</v>
      </c>
      <c r="D37">
        <v>1</v>
      </c>
      <c r="E37">
        <v>-3</v>
      </c>
      <c r="F37">
        <v>11</v>
      </c>
      <c r="I37" t="s">
        <v>154</v>
      </c>
      <c r="J37">
        <v>1.08</v>
      </c>
      <c r="K37">
        <v>1.22</v>
      </c>
      <c r="L37">
        <v>1.03</v>
      </c>
    </row>
    <row r="38" spans="1:12" x14ac:dyDescent="0.25">
      <c r="A38" t="s">
        <v>83</v>
      </c>
      <c r="D38">
        <v>-1757</v>
      </c>
      <c r="E38">
        <v>-1019</v>
      </c>
      <c r="F38">
        <v>-899</v>
      </c>
      <c r="I38" t="s">
        <v>91</v>
      </c>
      <c r="J38">
        <v>67133531</v>
      </c>
      <c r="K38">
        <v>77458902</v>
      </c>
      <c r="L38">
        <v>77677265</v>
      </c>
    </row>
    <row r="39" spans="1:12" x14ac:dyDescent="0.25">
      <c r="A39" t="s">
        <v>84</v>
      </c>
      <c r="I39" t="s">
        <v>92</v>
      </c>
      <c r="J39">
        <v>68102814</v>
      </c>
      <c r="K39">
        <v>78282101</v>
      </c>
      <c r="L39">
        <v>78593819</v>
      </c>
    </row>
    <row r="40" spans="1:12" x14ac:dyDescent="0.25">
      <c r="A40" t="s">
        <v>85</v>
      </c>
      <c r="D40">
        <v>-13.35</v>
      </c>
      <c r="E40">
        <v>-4.6900000000000004</v>
      </c>
      <c r="F40">
        <v>-2.39</v>
      </c>
    </row>
    <row r="41" spans="1:12" x14ac:dyDescent="0.25">
      <c r="A41" t="s">
        <v>86</v>
      </c>
      <c r="D41">
        <v>-0.15</v>
      </c>
      <c r="E41">
        <v>-0.14000000000000001</v>
      </c>
      <c r="F41">
        <v>-1.8</v>
      </c>
    </row>
    <row r="42" spans="1:12" x14ac:dyDescent="0.25">
      <c r="A42" t="s">
        <v>87</v>
      </c>
      <c r="D42">
        <v>-13.5</v>
      </c>
      <c r="E42">
        <v>-4.83</v>
      </c>
      <c r="F42">
        <v>-4.1900000000000004</v>
      </c>
    </row>
    <row r="43" spans="1:12" x14ac:dyDescent="0.25">
      <c r="A43" t="s">
        <v>88</v>
      </c>
      <c r="D43">
        <v>-13.35</v>
      </c>
      <c r="E43">
        <v>-4.6900000000000004</v>
      </c>
      <c r="F43">
        <v>-2.39</v>
      </c>
    </row>
    <row r="44" spans="1:12" x14ac:dyDescent="0.25">
      <c r="A44" t="s">
        <v>89</v>
      </c>
      <c r="D44">
        <v>-0.15</v>
      </c>
      <c r="E44">
        <v>-0.14000000000000001</v>
      </c>
      <c r="F44">
        <v>-1.8</v>
      </c>
    </row>
    <row r="45" spans="1:12" x14ac:dyDescent="0.25">
      <c r="A45" t="s">
        <v>90</v>
      </c>
      <c r="D45">
        <v>-13.5</v>
      </c>
      <c r="E45">
        <v>-4.83</v>
      </c>
      <c r="F45">
        <v>-4.1900000000000004</v>
      </c>
    </row>
    <row r="46" spans="1:12" x14ac:dyDescent="0.25">
      <c r="A46" t="s">
        <v>91</v>
      </c>
      <c r="D46">
        <v>130</v>
      </c>
      <c r="E46">
        <v>211</v>
      </c>
      <c r="F46">
        <v>214</v>
      </c>
    </row>
    <row r="47" spans="1:12" x14ac:dyDescent="0.25">
      <c r="A47" t="s">
        <v>92</v>
      </c>
      <c r="D47">
        <v>130</v>
      </c>
      <c r="E47">
        <v>211</v>
      </c>
      <c r="F47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BFBA-BF39-404F-B7DB-F6EEE26F13D0}">
  <dimension ref="A1:P63"/>
  <sheetViews>
    <sheetView topLeftCell="A16" workbookViewId="0">
      <selection activeCell="F29" sqref="F29"/>
    </sheetView>
  </sheetViews>
  <sheetFormatPr defaultRowHeight="15" x14ac:dyDescent="0.25"/>
  <cols>
    <col min="1" max="1" width="21.42578125" customWidth="1"/>
  </cols>
  <sheetData>
    <row r="1" spans="1:16" x14ac:dyDescent="0.25">
      <c r="A1" t="s">
        <v>93</v>
      </c>
      <c r="J1" t="s">
        <v>93</v>
      </c>
    </row>
    <row r="4" spans="1:16" x14ac:dyDescent="0.25">
      <c r="D4" t="s">
        <v>53</v>
      </c>
      <c r="L4" t="s">
        <v>155</v>
      </c>
    </row>
    <row r="5" spans="1:16" x14ac:dyDescent="0.25">
      <c r="A5" t="s">
        <v>94</v>
      </c>
      <c r="D5" t="s">
        <v>55</v>
      </c>
      <c r="E5" t="s">
        <v>56</v>
      </c>
      <c r="F5" t="s">
        <v>57</v>
      </c>
      <c r="N5" t="s">
        <v>139</v>
      </c>
      <c r="O5" t="s">
        <v>140</v>
      </c>
      <c r="P5" t="s">
        <v>141</v>
      </c>
    </row>
    <row r="6" spans="1:16" x14ac:dyDescent="0.25">
      <c r="A6" t="s">
        <v>95</v>
      </c>
      <c r="J6" t="s">
        <v>95</v>
      </c>
    </row>
    <row r="7" spans="1:16" x14ac:dyDescent="0.25">
      <c r="A7" t="s">
        <v>81</v>
      </c>
      <c r="D7">
        <v>-1758</v>
      </c>
      <c r="E7">
        <v>-1016</v>
      </c>
      <c r="F7">
        <v>-910</v>
      </c>
      <c r="J7" t="s">
        <v>25</v>
      </c>
      <c r="N7">
        <v>73380</v>
      </c>
      <c r="O7">
        <v>95235</v>
      </c>
      <c r="P7">
        <v>81001</v>
      </c>
    </row>
    <row r="8" spans="1:16" x14ac:dyDescent="0.25">
      <c r="A8" t="s">
        <v>96</v>
      </c>
      <c r="J8" t="s">
        <v>156</v>
      </c>
    </row>
    <row r="9" spans="1:16" x14ac:dyDescent="0.25">
      <c r="A9" t="s">
        <v>97</v>
      </c>
      <c r="D9">
        <v>20</v>
      </c>
      <c r="E9">
        <v>30</v>
      </c>
      <c r="F9">
        <v>386</v>
      </c>
      <c r="J9" t="s">
        <v>68</v>
      </c>
      <c r="N9">
        <v>105891</v>
      </c>
      <c r="O9">
        <v>157429</v>
      </c>
      <c r="P9">
        <v>221525</v>
      </c>
    </row>
    <row r="10" spans="1:16" x14ac:dyDescent="0.25">
      <c r="A10" t="s">
        <v>68</v>
      </c>
      <c r="D10">
        <v>583</v>
      </c>
      <c r="E10">
        <v>1126</v>
      </c>
      <c r="F10">
        <v>1205</v>
      </c>
      <c r="J10" t="s">
        <v>157</v>
      </c>
      <c r="N10">
        <v>6289</v>
      </c>
      <c r="O10">
        <v>8175</v>
      </c>
      <c r="P10">
        <v>18267</v>
      </c>
    </row>
    <row r="11" spans="1:16" x14ac:dyDescent="0.25">
      <c r="A11" t="s">
        <v>98</v>
      </c>
      <c r="D11">
        <v>156</v>
      </c>
      <c r="E11">
        <v>347</v>
      </c>
      <c r="F11">
        <v>297</v>
      </c>
      <c r="J11" t="s">
        <v>100</v>
      </c>
      <c r="N11" t="s">
        <v>108</v>
      </c>
      <c r="O11" t="s">
        <v>108</v>
      </c>
      <c r="P11">
        <v>-7140</v>
      </c>
    </row>
    <row r="12" spans="1:16" x14ac:dyDescent="0.25">
      <c r="A12" t="s">
        <v>99</v>
      </c>
      <c r="D12">
        <v>29</v>
      </c>
      <c r="E12">
        <v>26</v>
      </c>
      <c r="F12">
        <v>25</v>
      </c>
      <c r="J12" t="s">
        <v>158</v>
      </c>
      <c r="N12">
        <v>367</v>
      </c>
      <c r="O12">
        <v>213</v>
      </c>
      <c r="P12">
        <v>2441</v>
      </c>
    </row>
    <row r="13" spans="1:16" x14ac:dyDescent="0.25">
      <c r="A13" t="s">
        <v>100</v>
      </c>
      <c r="D13">
        <v>-11</v>
      </c>
      <c r="E13">
        <v>-4</v>
      </c>
      <c r="F13">
        <v>-2</v>
      </c>
      <c r="J13" t="s">
        <v>159</v>
      </c>
      <c r="N13">
        <v>38430</v>
      </c>
      <c r="O13">
        <v>162</v>
      </c>
      <c r="P13">
        <v>7512</v>
      </c>
    </row>
    <row r="14" spans="1:16" x14ac:dyDescent="0.25">
      <c r="J14" t="s">
        <v>160</v>
      </c>
      <c r="N14" t="s">
        <v>108</v>
      </c>
      <c r="O14">
        <v>675</v>
      </c>
      <c r="P14">
        <v>3096</v>
      </c>
    </row>
    <row r="15" spans="1:16" x14ac:dyDescent="0.25">
      <c r="A15" t="s">
        <v>74</v>
      </c>
      <c r="D15">
        <v>197</v>
      </c>
      <c r="E15">
        <v>236</v>
      </c>
      <c r="F15">
        <v>85</v>
      </c>
      <c r="J15" t="s">
        <v>161</v>
      </c>
      <c r="N15" t="s">
        <v>108</v>
      </c>
      <c r="O15">
        <v>2587</v>
      </c>
      <c r="P15">
        <v>-8765</v>
      </c>
    </row>
    <row r="16" spans="1:16" x14ac:dyDescent="0.25">
      <c r="A16" t="s">
        <v>101</v>
      </c>
      <c r="D16">
        <v>14</v>
      </c>
      <c r="E16">
        <v>39</v>
      </c>
      <c r="F16">
        <v>54</v>
      </c>
      <c r="J16" t="s">
        <v>103</v>
      </c>
      <c r="N16">
        <v>6322</v>
      </c>
      <c r="O16">
        <v>13084</v>
      </c>
      <c r="P16">
        <v>19719</v>
      </c>
    </row>
    <row r="17" spans="1:16" x14ac:dyDescent="0.25">
      <c r="A17" t="s">
        <v>102</v>
      </c>
      <c r="D17">
        <v>-34</v>
      </c>
      <c r="E17">
        <v>107</v>
      </c>
      <c r="F17">
        <v>54</v>
      </c>
      <c r="J17" t="s">
        <v>162</v>
      </c>
      <c r="N17">
        <v>319</v>
      </c>
      <c r="O17">
        <v>835</v>
      </c>
      <c r="P17">
        <v>-49575</v>
      </c>
    </row>
    <row r="18" spans="1:16" x14ac:dyDescent="0.25">
      <c r="A18" t="s">
        <v>103</v>
      </c>
      <c r="D18">
        <v>79</v>
      </c>
      <c r="E18">
        <v>82</v>
      </c>
      <c r="F18">
        <v>101</v>
      </c>
      <c r="J18" t="s">
        <v>67</v>
      </c>
      <c r="N18">
        <v>38016</v>
      </c>
      <c r="O18">
        <v>13602</v>
      </c>
      <c r="P18">
        <v>958</v>
      </c>
    </row>
    <row r="19" spans="1:16" x14ac:dyDescent="0.25">
      <c r="A19" t="s">
        <v>104</v>
      </c>
      <c r="D19">
        <v>-7</v>
      </c>
      <c r="E19">
        <v>11</v>
      </c>
      <c r="F19">
        <v>5</v>
      </c>
      <c r="J19" t="s">
        <v>105</v>
      </c>
      <c r="N19">
        <v>-112561</v>
      </c>
      <c r="O19">
        <v>33865</v>
      </c>
      <c r="P19">
        <v>-1649</v>
      </c>
    </row>
    <row r="20" spans="1:16" x14ac:dyDescent="0.25">
      <c r="A20" t="s">
        <v>67</v>
      </c>
      <c r="D20">
        <v>215</v>
      </c>
      <c r="E20">
        <v>102</v>
      </c>
      <c r="F20">
        <v>108</v>
      </c>
      <c r="J20" t="s">
        <v>62</v>
      </c>
      <c r="N20">
        <v>567</v>
      </c>
      <c r="O20">
        <v>1483</v>
      </c>
      <c r="P20">
        <v>1962</v>
      </c>
    </row>
    <row r="21" spans="1:16" x14ac:dyDescent="0.25">
      <c r="A21" t="s">
        <v>105</v>
      </c>
      <c r="D21">
        <v>176</v>
      </c>
      <c r="E21">
        <v>-283</v>
      </c>
      <c r="F21">
        <v>-41</v>
      </c>
      <c r="J21" t="s">
        <v>110</v>
      </c>
    </row>
    <row r="22" spans="1:16" x14ac:dyDescent="0.25">
      <c r="A22" t="s">
        <v>106</v>
      </c>
      <c r="D22">
        <v>-9</v>
      </c>
      <c r="E22">
        <v>127</v>
      </c>
      <c r="F22">
        <v>-73</v>
      </c>
      <c r="J22" t="s">
        <v>111</v>
      </c>
      <c r="N22">
        <v>-19110</v>
      </c>
      <c r="O22">
        <v>6104</v>
      </c>
      <c r="P22">
        <v>4586</v>
      </c>
    </row>
    <row r="23" spans="1:16" x14ac:dyDescent="0.25">
      <c r="A23" t="s">
        <v>107</v>
      </c>
      <c r="D23">
        <v>-129</v>
      </c>
      <c r="E23">
        <v>-21</v>
      </c>
      <c r="F23" t="s">
        <v>108</v>
      </c>
      <c r="J23" t="s">
        <v>112</v>
      </c>
      <c r="N23">
        <v>-423</v>
      </c>
      <c r="O23">
        <v>56</v>
      </c>
      <c r="P23">
        <v>9531</v>
      </c>
    </row>
    <row r="24" spans="1:16" x14ac:dyDescent="0.25">
      <c r="A24" t="s">
        <v>109</v>
      </c>
      <c r="D24">
        <v>-2</v>
      </c>
      <c r="E24">
        <v>-8</v>
      </c>
      <c r="F24">
        <v>-57</v>
      </c>
      <c r="J24" t="s">
        <v>113</v>
      </c>
      <c r="N24">
        <v>-470</v>
      </c>
      <c r="O24">
        <v>6945</v>
      </c>
      <c r="P24">
        <v>-21847</v>
      </c>
    </row>
    <row r="25" spans="1:16" x14ac:dyDescent="0.25">
      <c r="A25" t="s">
        <v>110</v>
      </c>
      <c r="J25" t="s">
        <v>163</v>
      </c>
      <c r="N25">
        <v>-7131</v>
      </c>
      <c r="O25">
        <v>-17170</v>
      </c>
      <c r="P25">
        <v>30904</v>
      </c>
    </row>
    <row r="26" spans="1:16" x14ac:dyDescent="0.25">
      <c r="A26" t="s">
        <v>111</v>
      </c>
      <c r="D26">
        <v>-70</v>
      </c>
      <c r="E26">
        <v>-135</v>
      </c>
      <c r="F26">
        <v>-143</v>
      </c>
      <c r="J26" t="s">
        <v>164</v>
      </c>
      <c r="N26">
        <v>129886</v>
      </c>
      <c r="O26">
        <v>323280</v>
      </c>
      <c r="P26">
        <v>312526</v>
      </c>
    </row>
    <row r="27" spans="1:16" x14ac:dyDescent="0.25">
      <c r="A27" t="s">
        <v>112</v>
      </c>
      <c r="D27">
        <v>9</v>
      </c>
      <c r="E27">
        <v>-67</v>
      </c>
      <c r="F27">
        <v>-15</v>
      </c>
      <c r="J27" t="s">
        <v>116</v>
      </c>
    </row>
    <row r="28" spans="1:16" x14ac:dyDescent="0.25">
      <c r="A28" t="s">
        <v>113</v>
      </c>
      <c r="D28">
        <v>-40</v>
      </c>
      <c r="E28">
        <v>13</v>
      </c>
      <c r="F28">
        <v>-7</v>
      </c>
      <c r="J28" t="s">
        <v>117</v>
      </c>
      <c r="N28">
        <v>-83161</v>
      </c>
      <c r="O28">
        <v>-147415</v>
      </c>
      <c r="P28">
        <v>-170766</v>
      </c>
    </row>
    <row r="29" spans="1:16" x14ac:dyDescent="0.25">
      <c r="A29" t="s">
        <v>114</v>
      </c>
      <c r="D29">
        <v>25</v>
      </c>
      <c r="E29">
        <v>486</v>
      </c>
      <c r="F29">
        <v>-80</v>
      </c>
      <c r="J29" t="s">
        <v>165</v>
      </c>
      <c r="N29" t="s">
        <v>108</v>
      </c>
      <c r="O29">
        <v>-8008</v>
      </c>
      <c r="P29" t="s">
        <v>108</v>
      </c>
    </row>
    <row r="30" spans="1:16" x14ac:dyDescent="0.25">
      <c r="A30" t="s">
        <v>62</v>
      </c>
      <c r="D30">
        <v>-4</v>
      </c>
      <c r="E30">
        <v>1</v>
      </c>
      <c r="F30">
        <v>1</v>
      </c>
      <c r="J30" t="s">
        <v>122</v>
      </c>
      <c r="N30">
        <v>135</v>
      </c>
      <c r="O30">
        <v>1002</v>
      </c>
      <c r="P30">
        <v>536133</v>
      </c>
    </row>
    <row r="31" spans="1:16" x14ac:dyDescent="0.25">
      <c r="A31" t="s">
        <v>115</v>
      </c>
      <c r="D31">
        <v>-561</v>
      </c>
      <c r="E31">
        <v>1199</v>
      </c>
      <c r="F31">
        <v>993</v>
      </c>
      <c r="J31" t="s">
        <v>166</v>
      </c>
      <c r="N31" t="s">
        <v>108</v>
      </c>
      <c r="O31" t="s">
        <v>108</v>
      </c>
      <c r="P31">
        <v>4944</v>
      </c>
    </row>
    <row r="32" spans="1:16" x14ac:dyDescent="0.25">
      <c r="J32" t="s">
        <v>167</v>
      </c>
      <c r="N32">
        <v>-1313051</v>
      </c>
      <c r="O32">
        <v>-1113227</v>
      </c>
      <c r="P32" t="s">
        <v>108</v>
      </c>
    </row>
    <row r="33" spans="1:16" x14ac:dyDescent="0.25">
      <c r="A33" t="s">
        <v>116</v>
      </c>
      <c r="J33" t="s">
        <v>168</v>
      </c>
      <c r="N33">
        <v>-604</v>
      </c>
      <c r="O33">
        <v>-581</v>
      </c>
      <c r="P33">
        <v>-771</v>
      </c>
    </row>
    <row r="34" spans="1:16" x14ac:dyDescent="0.25">
      <c r="A34" t="s">
        <v>117</v>
      </c>
      <c r="D34">
        <v>-164</v>
      </c>
      <c r="E34">
        <v>-520</v>
      </c>
      <c r="F34">
        <v>-952</v>
      </c>
      <c r="J34" t="s">
        <v>169</v>
      </c>
      <c r="N34">
        <v>-1396681</v>
      </c>
      <c r="O34">
        <v>-1268229</v>
      </c>
      <c r="P34">
        <v>369540</v>
      </c>
    </row>
    <row r="35" spans="1:16" x14ac:dyDescent="0.25">
      <c r="A35" t="s">
        <v>118</v>
      </c>
      <c r="D35">
        <v>-6314</v>
      </c>
      <c r="E35" t="s">
        <v>108</v>
      </c>
      <c r="F35" t="s">
        <v>108</v>
      </c>
      <c r="J35" t="s">
        <v>127</v>
      </c>
    </row>
    <row r="36" spans="1:16" x14ac:dyDescent="0.25">
      <c r="A36" t="s">
        <v>119</v>
      </c>
      <c r="D36" t="s">
        <v>108</v>
      </c>
      <c r="E36">
        <v>-1581</v>
      </c>
      <c r="F36" t="s">
        <v>108</v>
      </c>
      <c r="J36" t="s">
        <v>170</v>
      </c>
      <c r="N36">
        <v>2325000</v>
      </c>
      <c r="O36">
        <v>846000</v>
      </c>
      <c r="P36" t="s">
        <v>108</v>
      </c>
    </row>
    <row r="37" spans="1:16" x14ac:dyDescent="0.25">
      <c r="A37" t="s">
        <v>120</v>
      </c>
      <c r="D37" t="s">
        <v>108</v>
      </c>
      <c r="E37">
        <v>-5</v>
      </c>
      <c r="F37" t="s">
        <v>108</v>
      </c>
      <c r="J37" t="s">
        <v>171</v>
      </c>
      <c r="N37">
        <v>207953</v>
      </c>
      <c r="O37">
        <v>315358</v>
      </c>
      <c r="P37">
        <v>33000</v>
      </c>
    </row>
    <row r="38" spans="1:16" x14ac:dyDescent="0.25">
      <c r="A38" t="s">
        <v>121</v>
      </c>
      <c r="D38">
        <v>-35</v>
      </c>
      <c r="E38">
        <v>-312</v>
      </c>
      <c r="F38">
        <v>-11</v>
      </c>
      <c r="J38" t="s">
        <v>172</v>
      </c>
      <c r="N38">
        <v>-911875</v>
      </c>
      <c r="O38" t="s">
        <v>108</v>
      </c>
      <c r="P38" t="s">
        <v>108</v>
      </c>
    </row>
    <row r="39" spans="1:16" x14ac:dyDescent="0.25">
      <c r="J39" t="s">
        <v>173</v>
      </c>
      <c r="N39">
        <v>-236953</v>
      </c>
      <c r="O39">
        <v>-70358</v>
      </c>
      <c r="P39">
        <v>-278000</v>
      </c>
    </row>
    <row r="40" spans="1:16" x14ac:dyDescent="0.25">
      <c r="A40" t="s">
        <v>122</v>
      </c>
      <c r="D40">
        <v>366</v>
      </c>
      <c r="E40">
        <v>726</v>
      </c>
      <c r="F40">
        <v>39</v>
      </c>
      <c r="J40" t="s">
        <v>174</v>
      </c>
      <c r="N40" t="s">
        <v>108</v>
      </c>
      <c r="O40" t="s">
        <v>108</v>
      </c>
      <c r="P40">
        <v>-458000</v>
      </c>
    </row>
    <row r="41" spans="1:16" x14ac:dyDescent="0.25">
      <c r="A41" t="s">
        <v>123</v>
      </c>
      <c r="D41">
        <v>25</v>
      </c>
      <c r="E41">
        <v>239</v>
      </c>
      <c r="F41">
        <v>126</v>
      </c>
      <c r="J41" t="s">
        <v>175</v>
      </c>
      <c r="N41">
        <v>27500</v>
      </c>
      <c r="O41" t="s">
        <v>108</v>
      </c>
      <c r="P41" t="s">
        <v>108</v>
      </c>
    </row>
    <row r="42" spans="1:16" x14ac:dyDescent="0.25">
      <c r="J42" t="s">
        <v>176</v>
      </c>
      <c r="N42">
        <v>-51526</v>
      </c>
      <c r="O42">
        <v>-25758</v>
      </c>
      <c r="P42">
        <v>-456</v>
      </c>
    </row>
    <row r="43" spans="1:16" x14ac:dyDescent="0.25">
      <c r="A43" t="s">
        <v>124</v>
      </c>
      <c r="D43">
        <v>17</v>
      </c>
      <c r="E43">
        <v>44</v>
      </c>
      <c r="F43">
        <v>36</v>
      </c>
      <c r="J43" t="s">
        <v>135</v>
      </c>
      <c r="N43">
        <v>-11365</v>
      </c>
      <c r="O43">
        <v>-11708</v>
      </c>
      <c r="P43">
        <v>-8247</v>
      </c>
    </row>
    <row r="44" spans="1:16" x14ac:dyDescent="0.25">
      <c r="A44" t="s">
        <v>125</v>
      </c>
      <c r="D44">
        <v>-1</v>
      </c>
      <c r="E44">
        <v>-39</v>
      </c>
      <c r="F44" t="s">
        <v>108</v>
      </c>
      <c r="J44" t="s">
        <v>177</v>
      </c>
      <c r="N44">
        <v>2900</v>
      </c>
      <c r="O44">
        <v>154</v>
      </c>
      <c r="P44" t="s">
        <v>108</v>
      </c>
    </row>
    <row r="45" spans="1:16" x14ac:dyDescent="0.25">
      <c r="A45" t="s">
        <v>62</v>
      </c>
      <c r="D45">
        <v>6</v>
      </c>
      <c r="E45" t="s">
        <v>108</v>
      </c>
      <c r="F45">
        <v>-6</v>
      </c>
      <c r="J45" t="s">
        <v>178</v>
      </c>
      <c r="N45" t="s">
        <v>108</v>
      </c>
      <c r="O45">
        <v>-9131</v>
      </c>
      <c r="P45" t="s">
        <v>108</v>
      </c>
    </row>
    <row r="46" spans="1:16" x14ac:dyDescent="0.25">
      <c r="A46" t="s">
        <v>126</v>
      </c>
      <c r="D46">
        <v>-6100</v>
      </c>
      <c r="E46">
        <v>-1448</v>
      </c>
      <c r="F46">
        <v>-768</v>
      </c>
      <c r="J46" t="s">
        <v>179</v>
      </c>
      <c r="N46">
        <v>-533</v>
      </c>
      <c r="O46">
        <v>-666</v>
      </c>
      <c r="P46">
        <v>-476</v>
      </c>
    </row>
    <row r="47" spans="1:16" x14ac:dyDescent="0.25">
      <c r="J47" t="s">
        <v>180</v>
      </c>
      <c r="N47">
        <v>1351101</v>
      </c>
      <c r="O47">
        <v>1043891</v>
      </c>
      <c r="P47">
        <v>-712179</v>
      </c>
    </row>
    <row r="48" spans="1:16" x14ac:dyDescent="0.25">
      <c r="A48" t="s">
        <v>127</v>
      </c>
    </row>
    <row r="49" spans="1:16" x14ac:dyDescent="0.25">
      <c r="A49" t="s">
        <v>128</v>
      </c>
      <c r="D49">
        <v>9765</v>
      </c>
      <c r="E49">
        <v>1308</v>
      </c>
      <c r="F49">
        <v>1500</v>
      </c>
      <c r="J49" t="s">
        <v>181</v>
      </c>
      <c r="N49">
        <v>84306</v>
      </c>
      <c r="O49">
        <v>98942</v>
      </c>
      <c r="P49">
        <v>-30113</v>
      </c>
    </row>
    <row r="50" spans="1:16" x14ac:dyDescent="0.25">
      <c r="A50" t="s">
        <v>129</v>
      </c>
      <c r="D50">
        <v>-3742</v>
      </c>
      <c r="E50">
        <v>-1977</v>
      </c>
      <c r="F50">
        <v>-2738</v>
      </c>
      <c r="J50" t="s">
        <v>182</v>
      </c>
      <c r="N50">
        <v>63443</v>
      </c>
      <c r="O50">
        <v>147749</v>
      </c>
      <c r="P50">
        <v>246691</v>
      </c>
    </row>
    <row r="51" spans="1:16" x14ac:dyDescent="0.25">
      <c r="A51" t="s">
        <v>130</v>
      </c>
      <c r="D51">
        <v>3224</v>
      </c>
      <c r="E51" t="s">
        <v>108</v>
      </c>
      <c r="F51" t="s">
        <v>108</v>
      </c>
      <c r="J51" t="s">
        <v>183</v>
      </c>
      <c r="N51">
        <v>147749</v>
      </c>
      <c r="O51">
        <v>246691</v>
      </c>
      <c r="P51">
        <v>216578</v>
      </c>
    </row>
    <row r="52" spans="1:16" x14ac:dyDescent="0.25">
      <c r="A52" t="s">
        <v>131</v>
      </c>
      <c r="D52">
        <v>-49</v>
      </c>
      <c r="E52">
        <v>-5</v>
      </c>
      <c r="F52">
        <v>-3</v>
      </c>
    </row>
    <row r="53" spans="1:16" x14ac:dyDescent="0.25">
      <c r="A53" t="s">
        <v>132</v>
      </c>
      <c r="D53">
        <v>-356</v>
      </c>
      <c r="E53">
        <v>-56</v>
      </c>
      <c r="F53">
        <v>-12</v>
      </c>
      <c r="J53" t="s">
        <v>184</v>
      </c>
    </row>
    <row r="54" spans="1:16" x14ac:dyDescent="0.25">
      <c r="A54" t="s">
        <v>133</v>
      </c>
      <c r="D54">
        <v>2718</v>
      </c>
      <c r="E54">
        <v>3</v>
      </c>
      <c r="F54">
        <v>1</v>
      </c>
      <c r="J54" t="s">
        <v>185</v>
      </c>
      <c r="N54">
        <v>134596</v>
      </c>
      <c r="O54">
        <v>230752</v>
      </c>
      <c r="P54">
        <v>206317</v>
      </c>
    </row>
    <row r="55" spans="1:16" x14ac:dyDescent="0.25">
      <c r="A55" t="s">
        <v>134</v>
      </c>
      <c r="D55">
        <v>-903</v>
      </c>
      <c r="E55">
        <v>-367</v>
      </c>
      <c r="F55" t="s">
        <v>108</v>
      </c>
      <c r="J55" t="s">
        <v>186</v>
      </c>
      <c r="N55">
        <v>3267</v>
      </c>
      <c r="O55">
        <v>8884</v>
      </c>
      <c r="P55">
        <v>3507</v>
      </c>
    </row>
    <row r="56" spans="1:16" x14ac:dyDescent="0.25">
      <c r="A56" t="s">
        <v>135</v>
      </c>
      <c r="D56">
        <v>-16</v>
      </c>
      <c r="E56">
        <v>-45</v>
      </c>
      <c r="F56">
        <v>-27</v>
      </c>
      <c r="J56" t="s">
        <v>187</v>
      </c>
      <c r="N56">
        <v>9886</v>
      </c>
      <c r="O56">
        <v>7055</v>
      </c>
      <c r="P56">
        <v>6754</v>
      </c>
    </row>
    <row r="57" spans="1:16" x14ac:dyDescent="0.25">
      <c r="J57" t="s">
        <v>188</v>
      </c>
      <c r="N57">
        <v>147749</v>
      </c>
      <c r="O57">
        <v>246691</v>
      </c>
      <c r="P57">
        <v>216578</v>
      </c>
    </row>
    <row r="58" spans="1:16" x14ac:dyDescent="0.25">
      <c r="A58" t="s">
        <v>136</v>
      </c>
      <c r="D58" t="s">
        <v>108</v>
      </c>
      <c r="E58">
        <v>-2</v>
      </c>
      <c r="F58">
        <v>-3</v>
      </c>
    </row>
    <row r="59" spans="1:16" x14ac:dyDescent="0.25">
      <c r="A59" t="s">
        <v>137</v>
      </c>
      <c r="D59">
        <v>10641</v>
      </c>
      <c r="E59">
        <v>-1141</v>
      </c>
      <c r="F59">
        <v>-1282</v>
      </c>
      <c r="J59" t="s">
        <v>189</v>
      </c>
    </row>
    <row r="60" spans="1:16" x14ac:dyDescent="0.25">
      <c r="J60" t="s">
        <v>190</v>
      </c>
      <c r="N60">
        <v>84604</v>
      </c>
      <c r="O60">
        <v>166007</v>
      </c>
      <c r="P60">
        <v>277250</v>
      </c>
    </row>
    <row r="61" spans="1:16" x14ac:dyDescent="0.25">
      <c r="J61" t="s">
        <v>191</v>
      </c>
      <c r="N61">
        <v>246</v>
      </c>
      <c r="O61">
        <v>-4134</v>
      </c>
      <c r="P61">
        <v>51131</v>
      </c>
    </row>
    <row r="62" spans="1:16" x14ac:dyDescent="0.25">
      <c r="J62" t="s">
        <v>192</v>
      </c>
    </row>
    <row r="63" spans="1:16" x14ac:dyDescent="0.25">
      <c r="J63" t="s">
        <v>193</v>
      </c>
      <c r="N63">
        <v>9079</v>
      </c>
      <c r="O63">
        <v>11694</v>
      </c>
      <c r="P63">
        <v>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CZR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2023-06-08T18:06:50Z</dcterms:modified>
</cp:coreProperties>
</file>