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AB48655B-3DB3-4BA8-A39B-0E8FBEAF6BA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QRVO DCF" sheetId="1" r:id="rId1"/>
    <sheet name="WACC" sheetId="2" r:id="rId2"/>
    <sheet name="Raw IS" sheetId="3" r:id="rId3"/>
    <sheet name="Raw CF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D63" i="1"/>
  <c r="D65" i="1"/>
  <c r="O48" i="1"/>
  <c r="P48" i="1"/>
  <c r="Q48" i="1" s="1"/>
  <c r="R48" i="1" s="1"/>
  <c r="N48" i="1"/>
  <c r="I48" i="1"/>
  <c r="O45" i="1"/>
  <c r="P45" i="1"/>
  <c r="Q45" i="1" s="1"/>
  <c r="R45" i="1" s="1"/>
  <c r="N45" i="1"/>
  <c r="I45" i="1"/>
  <c r="J45" i="1"/>
  <c r="O20" i="1"/>
  <c r="P20" i="1"/>
  <c r="Q20" i="1" s="1"/>
  <c r="R20" i="1" s="1"/>
  <c r="N20" i="1"/>
  <c r="J32" i="1"/>
  <c r="K32" i="1"/>
  <c r="L32" i="1"/>
  <c r="M32" i="1"/>
  <c r="N32" i="1"/>
  <c r="O32" i="1"/>
  <c r="P32" i="1"/>
  <c r="Q32" i="1"/>
  <c r="R32" i="1"/>
  <c r="I32" i="1"/>
  <c r="J25" i="1"/>
  <c r="K25" i="1"/>
  <c r="L25" i="1"/>
  <c r="M25" i="1"/>
  <c r="N25" i="1"/>
  <c r="O25" i="1"/>
  <c r="P25" i="1"/>
  <c r="Q25" i="1"/>
  <c r="R25" i="1"/>
  <c r="I25" i="1"/>
  <c r="N17" i="1"/>
  <c r="O17" i="1"/>
  <c r="P17" i="1" s="1"/>
  <c r="Q17" i="1" s="1"/>
  <c r="R17" i="1" s="1"/>
  <c r="M17" i="1"/>
  <c r="I11" i="1"/>
  <c r="J11" i="1"/>
  <c r="K11" i="1" s="1"/>
  <c r="L11" i="1" s="1"/>
  <c r="M11" i="1" s="1"/>
  <c r="N11" i="1" s="1"/>
  <c r="O11" i="1" s="1"/>
  <c r="P11" i="1" s="1"/>
  <c r="Q11" i="1" s="1"/>
  <c r="D54" i="1"/>
  <c r="E54" i="1"/>
  <c r="F54" i="1"/>
  <c r="G54" i="1"/>
  <c r="H54" i="1"/>
  <c r="C54" i="1"/>
  <c r="D53" i="1"/>
  <c r="E53" i="1"/>
  <c r="F53" i="1"/>
  <c r="G53" i="1"/>
  <c r="H53" i="1"/>
  <c r="C53" i="1"/>
  <c r="G50" i="1"/>
  <c r="H50" i="1"/>
  <c r="F50" i="1"/>
  <c r="D50" i="1"/>
  <c r="E50" i="1"/>
  <c r="C50" i="1"/>
  <c r="H47" i="1"/>
  <c r="G47" i="1"/>
  <c r="F47" i="1"/>
  <c r="D47" i="1"/>
  <c r="E47" i="1"/>
  <c r="C47" i="1"/>
  <c r="G44" i="1"/>
  <c r="H44" i="1"/>
  <c r="F44" i="1"/>
  <c r="D44" i="1"/>
  <c r="E44" i="1"/>
  <c r="C44" i="1"/>
  <c r="G40" i="1"/>
  <c r="H40" i="1"/>
  <c r="F40" i="1"/>
  <c r="D40" i="1"/>
  <c r="E40" i="1"/>
  <c r="C40" i="1"/>
  <c r="D35" i="1"/>
  <c r="E35" i="1"/>
  <c r="F35" i="1"/>
  <c r="G35" i="1"/>
  <c r="H35" i="1"/>
  <c r="C35" i="1"/>
  <c r="D33" i="1"/>
  <c r="E33" i="1"/>
  <c r="F33" i="1"/>
  <c r="G33" i="1"/>
  <c r="H33" i="1"/>
  <c r="C33" i="1"/>
  <c r="G32" i="1"/>
  <c r="H32" i="1"/>
  <c r="F32" i="1"/>
  <c r="D32" i="1"/>
  <c r="E32" i="1"/>
  <c r="C32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C28" i="1" s="1"/>
  <c r="G14" i="1"/>
  <c r="H14" i="1"/>
  <c r="F14" i="1"/>
  <c r="D14" i="1"/>
  <c r="E14" i="1"/>
  <c r="C14" i="1"/>
  <c r="G11" i="1"/>
  <c r="H11" i="1"/>
  <c r="F11" i="1"/>
  <c r="D11" i="1"/>
  <c r="E11" i="1"/>
  <c r="C11" i="1"/>
  <c r="L65" i="1"/>
  <c r="L66" i="1" s="1"/>
  <c r="L63" i="1"/>
  <c r="L62" i="1" s="1"/>
  <c r="N61" i="1"/>
  <c r="M61" i="1" s="1"/>
  <c r="P61" i="1"/>
  <c r="Q61" i="1" s="1"/>
  <c r="C26" i="1" l="1"/>
  <c r="D26" i="1"/>
  <c r="H26" i="1"/>
  <c r="E26" i="1"/>
  <c r="F26" i="1"/>
  <c r="G26" i="1"/>
  <c r="C14" i="2"/>
  <c r="D66" i="1"/>
  <c r="C12" i="2" s="1"/>
  <c r="I22" i="1"/>
  <c r="I19" i="1"/>
  <c r="D23" i="1"/>
  <c r="E23" i="1"/>
  <c r="F23" i="1"/>
  <c r="G23" i="1"/>
  <c r="H23" i="1"/>
  <c r="C23" i="1"/>
  <c r="D20" i="1"/>
  <c r="E20" i="1"/>
  <c r="F20" i="1"/>
  <c r="G20" i="1"/>
  <c r="H20" i="1"/>
  <c r="C20" i="1"/>
  <c r="H28" i="1"/>
  <c r="H12" i="1"/>
  <c r="G28" i="1"/>
  <c r="G29" i="1" s="1"/>
  <c r="F28" i="1"/>
  <c r="E28" i="1"/>
  <c r="E29" i="1" s="1"/>
  <c r="D28" i="1"/>
  <c r="C29" i="1"/>
  <c r="E48" i="1"/>
  <c r="D48" i="1"/>
  <c r="C48" i="1"/>
  <c r="F48" i="1"/>
  <c r="G48" i="1"/>
  <c r="H48" i="1"/>
  <c r="F45" i="1"/>
  <c r="H45" i="1"/>
  <c r="C45" i="1"/>
  <c r="D51" i="1"/>
  <c r="C51" i="1"/>
  <c r="D45" i="1"/>
  <c r="D16" i="1"/>
  <c r="D17" i="1" s="1"/>
  <c r="E16" i="1"/>
  <c r="C16" i="1"/>
  <c r="C31" i="1" s="1"/>
  <c r="F51" i="1"/>
  <c r="G51" i="1"/>
  <c r="H51" i="1"/>
  <c r="G45" i="1"/>
  <c r="E45" i="1"/>
  <c r="F16" i="1"/>
  <c r="F17" i="1" s="1"/>
  <c r="G16" i="1"/>
  <c r="H16" i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H31" i="1" l="1"/>
  <c r="I28" i="1"/>
  <c r="I29" i="1" s="1"/>
  <c r="H17" i="1"/>
  <c r="I50" i="1"/>
  <c r="E51" i="1"/>
  <c r="K12" i="2"/>
  <c r="C13" i="2" s="1"/>
  <c r="I16" i="1"/>
  <c r="D31" i="1"/>
  <c r="G31" i="1"/>
  <c r="E31" i="1"/>
  <c r="G37" i="1"/>
  <c r="G17" i="1"/>
  <c r="C17" i="1"/>
  <c r="E17" i="1"/>
  <c r="H29" i="1"/>
  <c r="F31" i="1"/>
  <c r="F29" i="1"/>
  <c r="D29" i="1"/>
  <c r="G56" i="1" l="1"/>
  <c r="G41" i="1"/>
  <c r="I31" i="1"/>
  <c r="C37" i="1"/>
  <c r="I14" i="1"/>
  <c r="G13" i="2"/>
  <c r="K14" i="2" s="1"/>
  <c r="E5" i="1" s="1"/>
  <c r="E37" i="1"/>
  <c r="D37" i="1"/>
  <c r="D41" i="1" s="1"/>
  <c r="F37" i="1"/>
  <c r="H37" i="1"/>
  <c r="G38" i="1"/>
  <c r="I37" i="1" l="1"/>
  <c r="I40" i="1" s="1"/>
  <c r="I35" i="1"/>
  <c r="H56" i="1"/>
  <c r="H41" i="1"/>
  <c r="F56" i="1"/>
  <c r="F41" i="1"/>
  <c r="E56" i="1"/>
  <c r="E41" i="1"/>
  <c r="C56" i="1"/>
  <c r="C38" i="1"/>
  <c r="C41" i="1"/>
  <c r="E38" i="1"/>
  <c r="D56" i="1"/>
  <c r="D38" i="1"/>
  <c r="H38" i="1"/>
  <c r="F38" i="1"/>
  <c r="I54" i="1" l="1"/>
  <c r="I38" i="1"/>
  <c r="I53" i="1"/>
  <c r="I56" i="1" s="1"/>
  <c r="I57" i="1" s="1"/>
  <c r="J50" i="1" l="1"/>
  <c r="J22" i="1"/>
  <c r="J16" i="1"/>
  <c r="J14" i="1" s="1"/>
  <c r="J19" i="1"/>
  <c r="J28" i="1" l="1"/>
  <c r="J29" i="1" s="1"/>
  <c r="J31" i="1" l="1"/>
  <c r="J35" i="1" s="1"/>
  <c r="J37" i="1" l="1"/>
  <c r="J38" i="1"/>
  <c r="J40" i="1"/>
  <c r="J54" i="1" s="1"/>
  <c r="J53" i="1" l="1"/>
  <c r="K19" i="1"/>
  <c r="K50" i="1"/>
  <c r="K22" i="1"/>
  <c r="K16" i="1"/>
  <c r="K14" i="1" s="1"/>
  <c r="K28" i="1" l="1"/>
  <c r="K29" i="1" s="1"/>
  <c r="K31" i="1" l="1"/>
  <c r="K35" i="1" s="1"/>
  <c r="K37" i="1" l="1"/>
  <c r="K38" i="1"/>
  <c r="K40" i="1"/>
  <c r="K53" i="1" s="1"/>
  <c r="L16" i="1"/>
  <c r="L22" i="1"/>
  <c r="L14" i="1"/>
  <c r="L50" i="1"/>
  <c r="L19" i="1"/>
  <c r="L28" i="1" s="1"/>
  <c r="K54" i="1" l="1"/>
  <c r="L29" i="1"/>
  <c r="L31" i="1"/>
  <c r="L35" i="1" s="1"/>
  <c r="L37" i="1" l="1"/>
  <c r="L40" i="1" l="1"/>
  <c r="L53" i="1" s="1"/>
  <c r="L38" i="1"/>
  <c r="M19" i="1"/>
  <c r="M22" i="1"/>
  <c r="M50" i="1"/>
  <c r="M16" i="1"/>
  <c r="L54" i="1" l="1"/>
  <c r="M14" i="1"/>
  <c r="M28" i="1"/>
  <c r="M29" i="1" s="1"/>
  <c r="M31" i="1" l="1"/>
  <c r="M35" i="1" s="1"/>
  <c r="M37" i="1" l="1"/>
  <c r="M38" i="1" l="1"/>
  <c r="M40" i="1"/>
  <c r="N19" i="1"/>
  <c r="M54" i="1" l="1"/>
  <c r="M53" i="1"/>
  <c r="N50" i="1"/>
  <c r="N22" i="1"/>
  <c r="N28" i="1" s="1"/>
  <c r="N29" i="1" s="1"/>
  <c r="N16" i="1"/>
  <c r="N14" i="1"/>
  <c r="N31" i="1" l="1"/>
  <c r="N35" i="1" s="1"/>
  <c r="N37" i="1"/>
  <c r="N40" i="1" l="1"/>
  <c r="N54" i="1" s="1"/>
  <c r="N38" i="1"/>
  <c r="O16" i="1"/>
  <c r="N53" i="1" l="1"/>
  <c r="O50" i="1"/>
  <c r="O14" i="1"/>
  <c r="O19" i="1"/>
  <c r="O22" i="1"/>
  <c r="O28" i="1" l="1"/>
  <c r="O29" i="1" l="1"/>
  <c r="O31" i="1"/>
  <c r="O35" i="1" s="1"/>
  <c r="O37" i="1" l="1"/>
  <c r="O38" i="1" l="1"/>
  <c r="O40" i="1"/>
  <c r="O54" i="1" l="1"/>
  <c r="O53" i="1"/>
  <c r="P19" i="1"/>
  <c r="P50" i="1"/>
  <c r="P22" i="1"/>
  <c r="P16" i="1"/>
  <c r="P14" i="1" l="1"/>
  <c r="P28" i="1"/>
  <c r="P29" i="1" s="1"/>
  <c r="P31" i="1" l="1"/>
  <c r="P35" i="1" s="1"/>
  <c r="P37" i="1" l="1"/>
  <c r="P40" i="1" l="1"/>
  <c r="P54" i="1" s="1"/>
  <c r="P38" i="1"/>
  <c r="Q16" i="1"/>
  <c r="P53" i="1" l="1"/>
  <c r="Q14" i="1"/>
  <c r="Q50" i="1"/>
  <c r="Q19" i="1"/>
  <c r="Q22" i="1"/>
  <c r="Q28" i="1" l="1"/>
  <c r="Q29" i="1" s="1"/>
  <c r="Q31" i="1"/>
  <c r="Q35" i="1" s="1"/>
  <c r="Q37" i="1" l="1"/>
  <c r="Q40" i="1" l="1"/>
  <c r="Q54" i="1" s="1"/>
  <c r="Q38" i="1"/>
  <c r="R11" i="1"/>
  <c r="R16" i="1" s="1"/>
  <c r="Q53" i="1" l="1"/>
  <c r="R22" i="1"/>
  <c r="R19" i="1"/>
  <c r="R28" i="1" s="1"/>
  <c r="R29" i="1" s="1"/>
  <c r="R50" i="1"/>
  <c r="R14" i="1"/>
  <c r="R31" i="1" l="1"/>
  <c r="R35" i="1" s="1"/>
  <c r="R37" i="1"/>
  <c r="R40" i="1" l="1"/>
  <c r="R54" i="1" s="1"/>
  <c r="R38" i="1"/>
  <c r="S54" i="1" l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F59" i="1" s="1"/>
  <c r="H62" i="1" s="1"/>
  <c r="H64" i="1" s="1"/>
  <c r="H67" i="1" s="1"/>
  <c r="R53" i="1"/>
  <c r="K45" i="1"/>
  <c r="L45" i="1"/>
  <c r="M45" i="1"/>
  <c r="N44" i="1"/>
  <c r="P44" i="1"/>
  <c r="O44" i="1"/>
  <c r="Q44" i="1"/>
  <c r="R44" i="1"/>
  <c r="J48" i="1"/>
  <c r="J56" i="1"/>
  <c r="J57" i="1" s="1"/>
  <c r="K48" i="1"/>
  <c r="K56" i="1"/>
  <c r="K57" i="1" s="1"/>
  <c r="L48" i="1"/>
  <c r="L56" i="1"/>
  <c r="L57" i="1" s="1"/>
  <c r="M48" i="1"/>
  <c r="M56" i="1"/>
  <c r="M57" i="1" s="1"/>
  <c r="N47" i="1"/>
  <c r="N56" i="1" s="1"/>
  <c r="N57" i="1" s="1"/>
  <c r="P47" i="1"/>
  <c r="P56" i="1" s="1"/>
  <c r="P57" i="1" s="1"/>
  <c r="O47" i="1"/>
  <c r="O56" i="1"/>
  <c r="O57" i="1" s="1"/>
  <c r="Q47" i="1"/>
  <c r="Q56" i="1" s="1"/>
  <c r="Q57" i="1" s="1"/>
  <c r="R47" i="1"/>
  <c r="R56" i="1"/>
  <c r="R57" i="1" s="1"/>
  <c r="C59" i="1" l="1"/>
  <c r="C60" i="1" s="1"/>
  <c r="G62" i="1" s="1"/>
  <c r="G64" i="1" s="1"/>
  <c r="G67" i="1" s="1"/>
  <c r="D67" i="1" s="1"/>
  <c r="J6" i="1" s="1"/>
  <c r="N5" i="1" l="1"/>
  <c r="L61" i="1"/>
</calcChain>
</file>

<file path=xl/sharedStrings.xml><?xml version="1.0" encoding="utf-8"?>
<sst xmlns="http://schemas.openxmlformats.org/spreadsheetml/2006/main" count="240" uniqueCount="148">
  <si>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</si>
  <si>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</si>
  <si>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</si>
  <si>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</si>
  <si>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</si>
  <si>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</si>
  <si>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</si>
  <si>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</si>
  <si>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</si>
  <si>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</si>
  <si>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</si>
  <si>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</si>
  <si>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</si>
  <si>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</si>
  <si>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</si>
  <si>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</si>
  <si>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</si>
  <si>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</si>
  <si>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</si>
  <si>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</si>
  <si>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</si>
  <si>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</si>
  <si>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</si>
  <si>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</si>
  <si>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</si>
  <si>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</si>
  <si>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</si>
  <si>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</si>
  <si>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</si>
  <si>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</si>
  <si>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</si>
  <si>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</si>
  <si>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</si>
  <si>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</si>
  <si>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</si>
  <si>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</si>
  <si>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</si>
  <si>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</si>
  <si>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</si>
  <si>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</si>
  <si>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</si>
  <si>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</si>
  <si>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</si>
  <si>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</si>
  <si>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</si>
  <si>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</si>
  <si>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</si>
  <si>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</si>
  <si>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</si>
  <si>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</si>
  <si>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</si>
  <si>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</si>
  <si>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</si>
  <si>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</si>
  <si>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 xml:space="preserve">                                             Terminal Growth Rate</t>
  </si>
  <si>
    <t>Qorvo, Inc. and Subsidiaries Consolidated Statements of Income (In thousands, except per share data)</t>
  </si>
  <si>
    <t>Fiscal Year</t>
  </si>
  <si>
    <t>Cost of goods sold</t>
  </si>
  <si>
    <t>Gross profit</t>
  </si>
  <si>
    <t>Operating expenses:</t>
  </si>
  <si>
    <t>Research and development</t>
  </si>
  <si>
    <t>Selling, general and administrative</t>
  </si>
  <si>
    <t>Other operating expense</t>
  </si>
  <si>
    <t>Total operating expenses</t>
  </si>
  <si>
    <t>Interest expense</t>
  </si>
  <si>
    <t>Other income (expense), net</t>
  </si>
  <si>
    <t>Income before income taxes</t>
  </si>
  <si>
    <t>Income tax expense</t>
  </si>
  <si>
    <t>Net income per share :</t>
  </si>
  <si>
    <t>Basic</t>
  </si>
  <si>
    <t>Diluted</t>
  </si>
  <si>
    <t>Weighted-average shares of common stock outstanding:</t>
  </si>
  <si>
    <t>Consolidated Statements of Cash Flows</t>
  </si>
  <si>
    <t>Cash flows from operating activities:</t>
  </si>
  <si>
    <t>Adjustments to reconcile net income to net cash provided by operating activities:</t>
  </si>
  <si>
    <t>Depreciation</t>
  </si>
  <si>
    <t>Intangible assets amortization</t>
  </si>
  <si>
    <t>Loss on debt extinguishment</t>
  </si>
  <si>
    <t>—</t>
  </si>
  <si>
    <t>Deferred income taxes</t>
  </si>
  <si>
    <t>Asset impairments</t>
  </si>
  <si>
    <t>Goodwill impairment</t>
  </si>
  <si>
    <t>Stock-based compensation expense</t>
  </si>
  <si>
    <t>Other, net</t>
  </si>
  <si>
    <t>Changes in operating assets and liabilities:</t>
  </si>
  <si>
    <t>Accounts receivable, net</t>
  </si>
  <si>
    <t>Inventories</t>
  </si>
  <si>
    <t>Prepaid expenses and other assets</t>
  </si>
  <si>
    <t>Accounts payable</t>
  </si>
  <si>
    <t>Accrued liabilities</t>
  </si>
  <si>
    <t>Income taxes payable and receivable</t>
  </si>
  <si>
    <t>Other liabilities</t>
  </si>
  <si>
    <t>Net cash provided by operating activities</t>
  </si>
  <si>
    <t>Cash flows from investing activities:</t>
  </si>
  <si>
    <t>Purchases of property and equipment</t>
  </si>
  <si>
    <t>Purchases of businesses, net of cash acquired</t>
  </si>
  <si>
    <t>Other investing activities</t>
  </si>
  <si>
    <t>Net cash used in investing activities</t>
  </si>
  <si>
    <t>Cash flows from financing activities:</t>
  </si>
  <si>
    <t>Repurchase and payment of debt</t>
  </si>
  <si>
    <t>Proceeds from borrowings and debt issuances</t>
  </si>
  <si>
    <t>Repurchase of common stock, including transaction costs</t>
  </si>
  <si>
    <t>Proceeds from the issuance of common stock</t>
  </si>
  <si>
    <t>Tax withholding paid on behalf of employees for restricted stock units</t>
  </si>
  <si>
    <t>Other financing activities</t>
  </si>
  <si>
    <t>Net cash used in financing activities</t>
  </si>
  <si>
    <t>Effect of exchange rate changes on cash, cash equivalents and restricted cash</t>
  </si>
  <si>
    <t>Net (decrease) increase in cash, cash equivalents and restricted cash</t>
  </si>
  <si>
    <t>Cash, cash equivalents and restricted cash at the beginning of the period</t>
  </si>
  <si>
    <t>Cash, cash equivalents and restricted cash at the end of the period</t>
  </si>
  <si>
    <t>Reconciliation of cash, cash equivalents and restricted cash:</t>
  </si>
  <si>
    <t>Cash and cash equivalents</t>
  </si>
  <si>
    <t>Restricted cash included in "Other current assets" and "Other non-current assets"</t>
  </si>
  <si>
    <t>Total cash, cash equivalents and restricted cash</t>
  </si>
  <si>
    <t>Supplemental disclosure of cash flow information:</t>
  </si>
  <si>
    <t>Cash paid during the year for interest, net of amounts capitalized</t>
  </si>
  <si>
    <t>Cash paid during the year for income taxes, net of refunds</t>
  </si>
  <si>
    <t>Capital expenditures included in liabilities</t>
  </si>
  <si>
    <t>Qorvo, Inc. and Subsidiaries  Consolidated Statements of Operations  (In thousands, except per share data)</t>
  </si>
  <si>
    <t>Interest income</t>
  </si>
  <si>
    <t>Other income (expense)</t>
  </si>
  <si>
    <t>Income tax (expense) benefit</t>
  </si>
  <si>
    <t>Net income (loss)</t>
  </si>
  <si>
    <t>Net income (loss) per share:</t>
  </si>
  <si>
    <t>Weighted average shares of common stock outstanding:</t>
  </si>
  <si>
    <t>Adjustments to reconcile net income (loss) to net cash provided by operating activities:</t>
  </si>
  <si>
    <t>Foreign currency adjustments</t>
  </si>
  <si>
    <t>Gain on Cavendish investment</t>
  </si>
  <si>
    <t>Loss on impairment of equity investment</t>
  </si>
  <si>
    <t>Asset impairment</t>
  </si>
  <si>
    <t>Prepaid expenses and other current and non-current assets</t>
  </si>
  <si>
    <t>Investing activities:</t>
  </si>
  <si>
    <t>Purchase of property and equipment</t>
  </si>
  <si>
    <t>Purchase of available-for-sale debt securities</t>
  </si>
  <si>
    <t>Proceeds from sales and maturities of available-for-sale debt securities</t>
  </si>
  <si>
    <t>Purchase of businesses, net of cash acquired</t>
  </si>
  <si>
    <t>Other investing</t>
  </si>
  <si>
    <t>Financing activities:</t>
  </si>
  <si>
    <t>Other financing</t>
  </si>
  <si>
    <t>Net cash provided by (used in) financing activities</t>
  </si>
  <si>
    <t>Effect of exchange rate changes on cash</t>
  </si>
  <si>
    <t>Net increase (decrease) in cash, cash equivalents and restricted cash</t>
  </si>
  <si>
    <t>Cash paid during the year for interest</t>
  </si>
  <si>
    <t>Cash paid during the year for income taxes</t>
  </si>
  <si>
    <t>Non-cash investing and financing information:</t>
  </si>
  <si>
    <t>Capital expenditure adjustments included in liabilities</t>
  </si>
  <si>
    <t>Update 21/07/2023</t>
  </si>
  <si>
    <t>Qorvo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</si>
</sst>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_);[Red]&quot;($&quot;#,##0\)"/>
    <numFmt numFmtId="169" formatCode="&quot;($&quot;#,##0.00_);[Red]&quot;($&quot;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9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3" xfId="0" applyNumberFormat="1" applyFont="1" applyFill="1" applyBorder="1"/>
    <xf numFmtId="2" fontId="0" fillId="2" borderId="0" xfId="0" applyNumberFormat="1" applyFill="1"/>
    <xf numFmtId="2" fontId="0" fillId="3" borderId="0" xfId="0" applyNumberFormat="1" applyFill="1"/>
    <xf numFmtId="2" fontId="10" fillId="10" borderId="0" xfId="0" applyNumberFormat="1" applyFont="1" applyFill="1"/>
    <xf numFmtId="2" fontId="3" fillId="2" borderId="0" xfId="0" applyNumberFormat="1" applyFont="1" applyFill="1"/>
    <xf numFmtId="1" fontId="3" fillId="2" borderId="6" xfId="0" applyNumberFormat="1" applyFont="1" applyFill="1" applyBorder="1"/>
    <xf numFmtId="0" fontId="11" fillId="0" borderId="0" xfId="0" applyFont="1"/>
    <xf numFmtId="0" fontId="0" fillId="0" borderId="0" xfId="0"/>
    <xf numFmtId="0" fontId="11" fillId="0" borderId="0" xfId="0" applyFont="1"/>
    <xf numFmtId="165" fontId="11" fillId="0" borderId="0" xfId="0" applyNumberFormat="1" applyFont="1"/>
    <xf numFmtId="3" fontId="11" fillId="0" borderId="0" xfId="0" applyNumberFormat="1" applyFont="1"/>
    <xf numFmtId="166" fontId="11" fillId="0" borderId="0" xfId="0" applyNumberFormat="1" applyFont="1"/>
    <xf numFmtId="167" fontId="11" fillId="0" borderId="0" xfId="0" applyNumberFormat="1" applyFont="1"/>
    <xf numFmtId="0" fontId="11" fillId="0" borderId="0" xfId="0" applyFont="1" applyAlignment="1"/>
    <xf numFmtId="0" fontId="0" fillId="0" borderId="0" xfId="0" applyAlignmen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3" fillId="2" borderId="0" xfId="1" applyNumberFormat="1" applyFont="1" applyFill="1"/>
    <xf numFmtId="10" fontId="8" fillId="8" borderId="0" xfId="0" applyNumberFormat="1" applyFont="1" applyFill="1"/>
    <xf numFmtId="0" fontId="2" fillId="4" borderId="4" xfId="0" applyFont="1" applyFill="1" applyBorder="1"/>
    <xf numFmtId="0" fontId="2" fillId="4" borderId="0" xfId="0" applyFont="1" applyFill="1" applyBorder="1"/>
    <xf numFmtId="1" fontId="0" fillId="2" borderId="4" xfId="0" applyNumberFormat="1" applyFont="1" applyFill="1" applyBorder="1"/>
    <xf numFmtId="1" fontId="0" fillId="2" borderId="0" xfId="0" applyNumberFormat="1" applyFont="1" applyFill="1" applyBorder="1"/>
    <xf numFmtId="164" fontId="12" fillId="2" borderId="4" xfId="1" applyNumberFormat="1" applyFont="1" applyFill="1" applyBorder="1"/>
    <xf numFmtId="164" fontId="12" fillId="2" borderId="0" xfId="1" applyNumberFormat="1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1" fontId="0" fillId="2" borderId="14" xfId="0" applyNumberFormat="1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10" fontId="0" fillId="2" borderId="4" xfId="1" applyNumberFormat="1" applyFont="1" applyFill="1" applyBorder="1"/>
    <xf numFmtId="3" fontId="0" fillId="2" borderId="4" xfId="0" applyNumberFormat="1" applyFont="1" applyFill="1" applyBorder="1"/>
    <xf numFmtId="3" fontId="0" fillId="2" borderId="0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7" fillId="5" borderId="0" xfId="0" applyFont="1" applyFill="1"/>
    <xf numFmtId="164" fontId="7" fillId="5" borderId="0" xfId="1" applyNumberFormat="1" applyFont="1" applyFill="1"/>
    <xf numFmtId="164" fontId="12" fillId="5" borderId="4" xfId="1" applyNumberFormat="1" applyFont="1" applyFill="1" applyBorder="1"/>
    <xf numFmtId="164" fontId="12" fillId="5" borderId="0" xfId="1" applyNumberFormat="1" applyFont="1" applyFill="1" applyBorder="1"/>
    <xf numFmtId="164" fontId="12" fillId="5" borderId="4" xfId="0" applyNumberFormat="1" applyFont="1" applyFill="1" applyBorder="1"/>
    <xf numFmtId="164" fontId="12" fillId="5" borderId="0" xfId="0" applyNumberFormat="1" applyFont="1" applyFill="1" applyBorder="1"/>
    <xf numFmtId="10" fontId="12" fillId="5" borderId="4" xfId="0" applyNumberFormat="1" applyFont="1" applyFill="1" applyBorder="1"/>
    <xf numFmtId="10" fontId="12" fillId="5" borderId="0" xfId="0" applyNumberFormat="1" applyFont="1" applyFill="1" applyBorder="1"/>
    <xf numFmtId="164" fontId="0" fillId="5" borderId="4" xfId="0" applyNumberFormat="1" applyFont="1" applyFill="1" applyBorder="1"/>
    <xf numFmtId="164" fontId="0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7"/>
  <sheetViews>
    <sheetView tabSelected="1" topLeftCell="B1" workbookViewId="0">
      <selection activeCell="K7" sqref="K7"/>
    </sheetView>
  </sheetViews>
  <sheetFormatPr defaultRowHeight="15" x14ac:dyDescent="0.25"/>
  <cols>
    <col min="1" max="1" width="9.140625" style="2"/>
    <col min="2" max="2" width="19.5703125" style="2" customWidth="1"/>
    <col min="3" max="3" width="12.85546875" style="2" bestFit="1" customWidth="1"/>
    <col min="4" max="5" width="9.140625" style="2"/>
    <col min="6" max="6" width="9.85546875" style="2" customWidth="1"/>
    <col min="7" max="8" width="10.85546875" style="2" customWidth="1"/>
    <col min="9" max="16384" width="9.140625" style="2"/>
  </cols>
  <sheetData>
    <row r="1" spans="1:86" s="50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50" customFormat="1" ht="23.25" x14ac:dyDescent="0.35">
      <c r="A2" s="3"/>
      <c r="B2" s="4" t="s">
        <v>147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86" s="50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50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50" customFormat="1" x14ac:dyDescent="0.25">
      <c r="A5" s="1"/>
      <c r="B5" s="1"/>
      <c r="C5" s="7" t="s">
        <v>1</v>
      </c>
      <c r="D5" s="1"/>
      <c r="E5" s="8">
        <f>WACC!K14</f>
        <v>0.11941098213270492</v>
      </c>
      <c r="F5" s="2"/>
      <c r="G5" s="1"/>
      <c r="H5" s="1" t="s">
        <v>2</v>
      </c>
      <c r="I5" s="1"/>
      <c r="J5" s="7">
        <v>106.55</v>
      </c>
      <c r="K5" s="1"/>
      <c r="L5" s="1" t="s">
        <v>3</v>
      </c>
      <c r="M5" s="1"/>
      <c r="N5" s="7">
        <f>(J6/J5)-1</f>
        <v>-5.3322549764021065E-3</v>
      </c>
      <c r="O5" s="1"/>
      <c r="P5" s="1" t="s">
        <v>146</v>
      </c>
      <c r="Q5" s="1"/>
      <c r="R5" s="2"/>
    </row>
    <row r="6" spans="1:86" s="50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7">
        <f>D67</f>
        <v>105.98184823226435</v>
      </c>
      <c r="K6" s="1"/>
      <c r="L6" s="1"/>
      <c r="M6" s="1"/>
      <c r="N6" s="1"/>
      <c r="O6" s="1"/>
      <c r="P6" s="1"/>
      <c r="Q6" s="1"/>
      <c r="R6" s="2"/>
    </row>
    <row r="7" spans="1:86" s="50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2"/>
    </row>
    <row r="8" spans="1:86" s="50" customFormat="1" x14ac:dyDescent="0.25">
      <c r="A8" s="1"/>
      <c r="B8" s="10"/>
      <c r="C8" s="1"/>
      <c r="D8" s="1"/>
      <c r="E8" s="35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50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50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82">
        <v>2023</v>
      </c>
      <c r="J10" s="83">
        <v>2024</v>
      </c>
      <c r="K10" s="83">
        <v>2025</v>
      </c>
      <c r="L10" s="83">
        <v>2026</v>
      </c>
      <c r="M10" s="83">
        <v>2027</v>
      </c>
      <c r="N10" s="83">
        <v>2028</v>
      </c>
      <c r="O10" s="83">
        <v>2029</v>
      </c>
      <c r="P10" s="83">
        <v>2030</v>
      </c>
      <c r="Q10" s="83">
        <v>2031</v>
      </c>
      <c r="R10" s="83">
        <v>2032</v>
      </c>
      <c r="S10" s="51">
        <v>2033</v>
      </c>
      <c r="T10" s="51">
        <v>2034</v>
      </c>
      <c r="U10" s="51">
        <v>2035</v>
      </c>
      <c r="V10" s="51">
        <v>2036</v>
      </c>
      <c r="W10" s="51">
        <v>2037</v>
      </c>
      <c r="X10" s="51">
        <v>2038</v>
      </c>
      <c r="Y10" s="51">
        <v>2039</v>
      </c>
      <c r="Z10" s="51">
        <v>2040</v>
      </c>
      <c r="AA10" s="51">
        <v>2041</v>
      </c>
      <c r="AB10" s="51">
        <v>2042</v>
      </c>
      <c r="AC10" s="51">
        <v>2043</v>
      </c>
      <c r="AD10" s="51">
        <v>2044</v>
      </c>
      <c r="AE10" s="51">
        <v>2045</v>
      </c>
      <c r="AF10" s="51">
        <v>2046</v>
      </c>
      <c r="AG10" s="51">
        <v>2047</v>
      </c>
      <c r="AH10" s="51">
        <v>2048</v>
      </c>
      <c r="AI10" s="51">
        <v>2049</v>
      </c>
      <c r="AJ10" s="51">
        <v>2050</v>
      </c>
      <c r="AK10" s="51">
        <v>2051</v>
      </c>
      <c r="AL10" s="51">
        <v>2052</v>
      </c>
      <c r="AM10" s="51">
        <v>2053</v>
      </c>
      <c r="AN10" s="51">
        <v>2054</v>
      </c>
      <c r="AO10" s="51">
        <v>2055</v>
      </c>
      <c r="AP10" s="51">
        <v>2056</v>
      </c>
      <c r="AQ10" s="51">
        <v>2057</v>
      </c>
      <c r="AR10" s="51">
        <v>2058</v>
      </c>
      <c r="AS10" s="51">
        <v>2059</v>
      </c>
      <c r="AT10" s="51">
        <v>2060</v>
      </c>
      <c r="AU10" s="51">
        <v>2061</v>
      </c>
      <c r="AV10" s="51">
        <v>2062</v>
      </c>
      <c r="AW10" s="51">
        <v>2063</v>
      </c>
      <c r="AX10" s="51">
        <v>2064</v>
      </c>
      <c r="AY10" s="51">
        <v>2065</v>
      </c>
      <c r="AZ10" s="51">
        <v>2066</v>
      </c>
      <c r="BA10" s="51">
        <v>2067</v>
      </c>
      <c r="BB10" s="51">
        <v>2068</v>
      </c>
      <c r="BC10" s="51">
        <v>2069</v>
      </c>
      <c r="BD10" s="51">
        <v>2070</v>
      </c>
      <c r="BE10" s="51">
        <v>2071</v>
      </c>
      <c r="BF10" s="51">
        <v>2072</v>
      </c>
      <c r="BG10" s="51">
        <v>2073</v>
      </c>
      <c r="BH10" s="51">
        <v>2074</v>
      </c>
      <c r="BI10" s="51">
        <v>2075</v>
      </c>
      <c r="BJ10" s="51">
        <v>2076</v>
      </c>
      <c r="BK10" s="51">
        <v>2077</v>
      </c>
      <c r="BL10" s="51">
        <v>2078</v>
      </c>
      <c r="BM10" s="51">
        <v>2079</v>
      </c>
      <c r="BN10" s="51">
        <v>2080</v>
      </c>
      <c r="BO10" s="51">
        <v>2081</v>
      </c>
      <c r="BP10" s="51">
        <v>2082</v>
      </c>
      <c r="BQ10" s="51">
        <v>2083</v>
      </c>
      <c r="BR10" s="51">
        <v>2084</v>
      </c>
      <c r="BS10" s="51">
        <v>2085</v>
      </c>
      <c r="BT10" s="51">
        <v>2086</v>
      </c>
      <c r="BU10" s="51">
        <v>2087</v>
      </c>
      <c r="BV10" s="51">
        <v>2088</v>
      </c>
      <c r="BW10" s="51">
        <v>2089</v>
      </c>
      <c r="BX10" s="51">
        <v>2090</v>
      </c>
      <c r="BY10" s="51">
        <v>2091</v>
      </c>
      <c r="BZ10" s="51">
        <v>2092</v>
      </c>
      <c r="CA10" s="51">
        <v>2093</v>
      </c>
      <c r="CB10" s="51">
        <v>2094</v>
      </c>
      <c r="CC10" s="51">
        <v>2095</v>
      </c>
      <c r="CD10" s="51">
        <v>2096</v>
      </c>
      <c r="CE10" s="51">
        <v>2097</v>
      </c>
      <c r="CF10" s="51">
        <v>2098</v>
      </c>
      <c r="CG10" s="51">
        <v>2099</v>
      </c>
      <c r="CH10" s="51">
        <v>2100</v>
      </c>
    </row>
    <row r="11" spans="1:86" s="50" customFormat="1" x14ac:dyDescent="0.25">
      <c r="A11" s="1"/>
      <c r="B11" s="1" t="s">
        <v>7</v>
      </c>
      <c r="C11" s="10">
        <f>'Raw IS'!K8</f>
        <v>2973536</v>
      </c>
      <c r="D11" s="10">
        <f>'Raw IS'!L8</f>
        <v>3090325</v>
      </c>
      <c r="E11" s="10">
        <f>'Raw IS'!M8</f>
        <v>3239141</v>
      </c>
      <c r="F11" s="10">
        <f>'Raw IS'!D7</f>
        <v>4015307</v>
      </c>
      <c r="G11" s="10">
        <f>'Raw IS'!E7</f>
        <v>4645714</v>
      </c>
      <c r="H11" s="10">
        <f>'Raw IS'!F7</f>
        <v>3569399</v>
      </c>
      <c r="I11" s="84">
        <f t="shared" ref="I11" si="1">H11*(1+I12)</f>
        <v>3530000</v>
      </c>
      <c r="J11" s="85">
        <f t="shared" ref="J11" si="2">I11*(1+J12)</f>
        <v>4060000.0000000005</v>
      </c>
      <c r="K11" s="85">
        <f t="shared" ref="K11" si="3">J11*(1+K12)</f>
        <v>4410000.0000000009</v>
      </c>
      <c r="L11" s="85">
        <f t="shared" ref="L11" si="4">K11*(1+L12)</f>
        <v>4840000.0000000009</v>
      </c>
      <c r="M11" s="85">
        <f t="shared" ref="M11" si="5">L11*(1+M12)</f>
        <v>5170000.0000000009</v>
      </c>
      <c r="N11" s="85">
        <f t="shared" ref="N11" si="6">M11*(1+N12)</f>
        <v>5454350.0000000009</v>
      </c>
      <c r="O11" s="85">
        <f t="shared" ref="O11" si="7">N11*(1+O12)</f>
        <v>5727067.5000000009</v>
      </c>
      <c r="P11" s="85">
        <f t="shared" ref="P11" si="8">O11*(1+P12)</f>
        <v>5984785.5375000006</v>
      </c>
      <c r="Q11" s="85">
        <f t="shared" ref="Q11" si="9">P11*(1+Q12)</f>
        <v>6224176.9590000007</v>
      </c>
      <c r="R11" s="85">
        <f t="shared" ref="J11:R11" si="10">Q11*(1+R12)</f>
        <v>6473144.0373600014</v>
      </c>
    </row>
    <row r="12" spans="1:86" s="50" customFormat="1" x14ac:dyDescent="0.25">
      <c r="A12" s="1"/>
      <c r="B12" s="98" t="s">
        <v>8</v>
      </c>
      <c r="C12" s="99"/>
      <c r="D12" s="99">
        <f>(D11/C11)-1</f>
        <v>3.9276134541502028E-2</v>
      </c>
      <c r="E12" s="99">
        <f>(E11/D11)-1</f>
        <v>4.8155452905438656E-2</v>
      </c>
      <c r="F12" s="99">
        <f>(F11/E11)-1</f>
        <v>0.23962093653842187</v>
      </c>
      <c r="G12" s="99">
        <f>(G11/F11)-1</f>
        <v>0.15700094662749331</v>
      </c>
      <c r="H12" s="99">
        <f>(H11/G11)-1</f>
        <v>-0.23167913478961466</v>
      </c>
      <c r="I12" s="100">
        <v>-1.1037992670474783E-2</v>
      </c>
      <c r="J12" s="101">
        <v>0.15014164305949018</v>
      </c>
      <c r="K12" s="101">
        <v>8.6206896551724199E-2</v>
      </c>
      <c r="L12" s="101">
        <v>9.7505668934240397E-2</v>
      </c>
      <c r="M12" s="101">
        <v>6.8181818181818121E-2</v>
      </c>
      <c r="N12" s="101">
        <v>5.5E-2</v>
      </c>
      <c r="O12" s="101">
        <v>0.05</v>
      </c>
      <c r="P12" s="101">
        <v>4.4999999999999998E-2</v>
      </c>
      <c r="Q12" s="101">
        <v>0.04</v>
      </c>
      <c r="R12" s="101">
        <v>0.04</v>
      </c>
    </row>
    <row r="13" spans="1:86" s="50" customFormat="1" x14ac:dyDescent="0.25">
      <c r="A13" s="1"/>
      <c r="B13" s="6"/>
      <c r="C13" s="1"/>
      <c r="D13" s="1"/>
      <c r="E13" s="1"/>
      <c r="F13" s="1"/>
      <c r="G13" s="1"/>
      <c r="H13" s="1"/>
      <c r="I13" s="88"/>
      <c r="J13" s="89"/>
      <c r="K13" s="89"/>
      <c r="L13" s="89"/>
      <c r="M13" s="89"/>
      <c r="N13" s="89"/>
      <c r="O13" s="89"/>
      <c r="P13" s="89"/>
      <c r="Q13" s="89"/>
      <c r="R13" s="89"/>
    </row>
    <row r="14" spans="1:86" s="50" customFormat="1" x14ac:dyDescent="0.25">
      <c r="A14" s="1"/>
      <c r="B14" s="1" t="s">
        <v>9</v>
      </c>
      <c r="C14" s="10">
        <f>'Raw IS'!K9</f>
        <v>1826570</v>
      </c>
      <c r="D14" s="10">
        <f>'Raw IS'!L9</f>
        <v>1895142</v>
      </c>
      <c r="E14" s="10">
        <f>'Raw IS'!M9</f>
        <v>1917378</v>
      </c>
      <c r="F14" s="10">
        <f>'Raw IS'!D8</f>
        <v>2131741</v>
      </c>
      <c r="G14" s="10">
        <f>'Raw IS'!E8</f>
        <v>2359546</v>
      </c>
      <c r="H14" s="10">
        <f>'Raw IS'!F8</f>
        <v>2272457</v>
      </c>
      <c r="I14" s="90">
        <f>I11-I16</f>
        <v>1989155</v>
      </c>
      <c r="J14" s="91">
        <f t="shared" ref="J14:K14" si="11">J11-J16</f>
        <v>2177784</v>
      </c>
      <c r="K14" s="91">
        <f t="shared" si="11"/>
        <v>2213820.0000000005</v>
      </c>
      <c r="L14" s="92">
        <f t="shared" ref="L14:R14" si="12">L11-L16</f>
        <v>2318360.0000000005</v>
      </c>
      <c r="M14" s="92">
        <f t="shared" si="12"/>
        <v>2450580.0000000005</v>
      </c>
      <c r="N14" s="92">
        <f t="shared" si="12"/>
        <v>2558090.1500000004</v>
      </c>
      <c r="O14" s="92">
        <f t="shared" si="12"/>
        <v>2657359.3200000003</v>
      </c>
      <c r="P14" s="92">
        <f t="shared" si="12"/>
        <v>2747016.5617125002</v>
      </c>
      <c r="Q14" s="92">
        <f t="shared" si="12"/>
        <v>2825776.3393860003</v>
      </c>
      <c r="R14" s="92">
        <f t="shared" si="12"/>
        <v>2906441.6727746404</v>
      </c>
    </row>
    <row r="15" spans="1:86" s="50" customFormat="1" x14ac:dyDescent="0.25">
      <c r="A15" s="1"/>
      <c r="B15" s="16"/>
      <c r="C15" s="16"/>
      <c r="D15" s="16"/>
      <c r="E15" s="16"/>
      <c r="F15" s="16"/>
      <c r="G15" s="16"/>
      <c r="H15" s="16"/>
      <c r="I15" s="88"/>
      <c r="J15" s="89"/>
      <c r="K15" s="89"/>
      <c r="L15" s="89"/>
      <c r="M15" s="89"/>
      <c r="N15" s="89"/>
      <c r="O15" s="89"/>
      <c r="P15" s="89"/>
      <c r="Q15" s="89"/>
      <c r="R15" s="89"/>
    </row>
    <row r="16" spans="1:86" s="50" customFormat="1" x14ac:dyDescent="0.25">
      <c r="A16" s="1"/>
      <c r="B16" s="1" t="s">
        <v>10</v>
      </c>
      <c r="C16" s="10">
        <f t="shared" ref="C16:H16" si="13">C11-C14</f>
        <v>1146966</v>
      </c>
      <c r="D16" s="10">
        <f t="shared" si="13"/>
        <v>1195183</v>
      </c>
      <c r="E16" s="10">
        <f t="shared" si="13"/>
        <v>1321763</v>
      </c>
      <c r="F16" s="10">
        <f t="shared" si="13"/>
        <v>1883566</v>
      </c>
      <c r="G16" s="10">
        <f t="shared" si="13"/>
        <v>2286168</v>
      </c>
      <c r="H16" s="10">
        <f t="shared" si="13"/>
        <v>1296942</v>
      </c>
      <c r="I16" s="84">
        <f>I11*I17</f>
        <v>1540845</v>
      </c>
      <c r="J16" s="85">
        <f t="shared" ref="J16:R16" si="14">J11*J17</f>
        <v>1882216.0000000002</v>
      </c>
      <c r="K16" s="85">
        <f t="shared" si="14"/>
        <v>2196180.0000000005</v>
      </c>
      <c r="L16" s="85">
        <f t="shared" si="14"/>
        <v>2521640.0000000005</v>
      </c>
      <c r="M16" s="85">
        <f t="shared" si="14"/>
        <v>2719420.0000000005</v>
      </c>
      <c r="N16" s="85">
        <f t="shared" si="14"/>
        <v>2896259.8500000006</v>
      </c>
      <c r="O16" s="85">
        <f t="shared" si="14"/>
        <v>3069708.1800000006</v>
      </c>
      <c r="P16" s="85">
        <f t="shared" si="14"/>
        <v>3237768.9757875004</v>
      </c>
      <c r="Q16" s="85">
        <f t="shared" si="14"/>
        <v>3398400.6196140004</v>
      </c>
      <c r="R16" s="85">
        <f t="shared" si="14"/>
        <v>3566702.364585361</v>
      </c>
    </row>
    <row r="17" spans="1:18" s="50" customFormat="1" x14ac:dyDescent="0.25">
      <c r="A17" s="1"/>
      <c r="B17" s="98" t="s">
        <v>11</v>
      </c>
      <c r="C17" s="99">
        <f t="shared" ref="C17:H17" si="15">C16/C11</f>
        <v>0.38572460531838187</v>
      </c>
      <c r="D17" s="99">
        <f t="shared" si="15"/>
        <v>0.38674993730432883</v>
      </c>
      <c r="E17" s="99">
        <f t="shared" si="15"/>
        <v>0.40805972941591612</v>
      </c>
      <c r="F17" s="99">
        <f t="shared" si="15"/>
        <v>0.46909638540714321</v>
      </c>
      <c r="G17" s="99">
        <f t="shared" si="15"/>
        <v>0.49210261329044364</v>
      </c>
      <c r="H17" s="99">
        <f t="shared" si="15"/>
        <v>0.36335024467704508</v>
      </c>
      <c r="I17" s="102">
        <v>0.4365</v>
      </c>
      <c r="J17" s="103">
        <v>0.46360000000000001</v>
      </c>
      <c r="K17" s="103">
        <v>0.498</v>
      </c>
      <c r="L17" s="103">
        <v>0.52100000000000002</v>
      </c>
      <c r="M17" s="103">
        <f>L17+0.5%</f>
        <v>0.52600000000000002</v>
      </c>
      <c r="N17" s="103">
        <f t="shared" ref="N17:R17" si="16">M17+0.5%</f>
        <v>0.53100000000000003</v>
      </c>
      <c r="O17" s="103">
        <f t="shared" si="16"/>
        <v>0.53600000000000003</v>
      </c>
      <c r="P17" s="103">
        <f t="shared" si="16"/>
        <v>0.54100000000000004</v>
      </c>
      <c r="Q17" s="103">
        <f t="shared" si="16"/>
        <v>0.54600000000000004</v>
      </c>
      <c r="R17" s="103">
        <f t="shared" si="16"/>
        <v>0.55100000000000005</v>
      </c>
    </row>
    <row r="18" spans="1:18" s="50" customFormat="1" x14ac:dyDescent="0.25">
      <c r="A18" s="1"/>
      <c r="B18" s="6"/>
      <c r="C18" s="1"/>
      <c r="D18" s="1"/>
      <c r="E18" s="1"/>
      <c r="F18" s="1"/>
      <c r="G18" s="1"/>
      <c r="H18" s="1"/>
      <c r="I18" s="88"/>
      <c r="J18" s="89"/>
      <c r="K18" s="89"/>
      <c r="L18" s="89"/>
      <c r="M18" s="89"/>
      <c r="N18" s="89"/>
      <c r="O18" s="89"/>
      <c r="P18" s="89"/>
      <c r="Q18" s="89"/>
      <c r="R18" s="89"/>
    </row>
    <row r="19" spans="1:18" s="50" customFormat="1" x14ac:dyDescent="0.25">
      <c r="A19" s="1"/>
      <c r="B19" s="1" t="s">
        <v>12</v>
      </c>
      <c r="C19" s="10">
        <f>'Raw IS'!K13</f>
        <v>445103</v>
      </c>
      <c r="D19" s="10">
        <f>'Raw IS'!L13</f>
        <v>450482</v>
      </c>
      <c r="E19" s="10">
        <f>'Raw IS'!M13</f>
        <v>484414</v>
      </c>
      <c r="F19" s="10">
        <f>'Raw IS'!D12</f>
        <v>570395</v>
      </c>
      <c r="G19" s="10">
        <f>'Raw IS'!E12</f>
        <v>623636</v>
      </c>
      <c r="H19" s="10">
        <f>'Raw IS'!F12</f>
        <v>649841</v>
      </c>
      <c r="I19" s="84">
        <f>I20*I11</f>
        <v>645990</v>
      </c>
      <c r="J19" s="85">
        <f t="shared" ref="J19:R19" si="17">J20*J11</f>
        <v>690200.00000000012</v>
      </c>
      <c r="K19" s="85">
        <f t="shared" si="17"/>
        <v>749700.00000000023</v>
      </c>
      <c r="L19" s="85">
        <f t="shared" si="17"/>
        <v>793760.00000000023</v>
      </c>
      <c r="M19" s="85">
        <f t="shared" si="17"/>
        <v>837540.00000000023</v>
      </c>
      <c r="N19" s="85">
        <f t="shared" si="17"/>
        <v>872696.00000000012</v>
      </c>
      <c r="O19" s="85">
        <f t="shared" si="17"/>
        <v>904876.66500000015</v>
      </c>
      <c r="P19" s="85">
        <f t="shared" si="17"/>
        <v>933626.54385000013</v>
      </c>
      <c r="Q19" s="85">
        <f t="shared" si="17"/>
        <v>958523.25168600015</v>
      </c>
      <c r="R19" s="85">
        <f t="shared" si="17"/>
        <v>983917.89367872023</v>
      </c>
    </row>
    <row r="20" spans="1:18" s="50" customFormat="1" x14ac:dyDescent="0.25">
      <c r="A20" s="1"/>
      <c r="B20" s="98" t="s">
        <v>19</v>
      </c>
      <c r="C20" s="99">
        <f>C19/C11</f>
        <v>0.14968811542890351</v>
      </c>
      <c r="D20" s="99">
        <f t="shared" ref="D20:H20" si="18">D19/D11</f>
        <v>0.14577172303883895</v>
      </c>
      <c r="E20" s="99">
        <f t="shared" si="18"/>
        <v>0.14955014307805681</v>
      </c>
      <c r="F20" s="99">
        <f t="shared" si="18"/>
        <v>0.14205514049112558</v>
      </c>
      <c r="G20" s="99">
        <f t="shared" si="18"/>
        <v>0.13423899964569494</v>
      </c>
      <c r="H20" s="99">
        <f t="shared" si="18"/>
        <v>0.18205894045468157</v>
      </c>
      <c r="I20" s="100">
        <v>0.183</v>
      </c>
      <c r="J20" s="101">
        <v>0.17</v>
      </c>
      <c r="K20" s="101">
        <v>0.17</v>
      </c>
      <c r="L20" s="101">
        <v>0.16400000000000001</v>
      </c>
      <c r="M20" s="101">
        <v>0.16200000000000001</v>
      </c>
      <c r="N20" s="101">
        <f>M20-0.2%</f>
        <v>0.16</v>
      </c>
      <c r="O20" s="101">
        <f t="shared" ref="O20:R20" si="19">N20-0.2%</f>
        <v>0.158</v>
      </c>
      <c r="P20" s="101">
        <f t="shared" si="19"/>
        <v>0.156</v>
      </c>
      <c r="Q20" s="101">
        <f t="shared" si="19"/>
        <v>0.154</v>
      </c>
      <c r="R20" s="101">
        <f t="shared" si="19"/>
        <v>0.152</v>
      </c>
    </row>
    <row r="21" spans="1:18" s="50" customFormat="1" x14ac:dyDescent="0.25">
      <c r="A21" s="1"/>
      <c r="B21" s="1"/>
      <c r="C21" s="10"/>
      <c r="D21" s="10"/>
      <c r="E21" s="10"/>
      <c r="F21" s="10"/>
      <c r="G21" s="10"/>
      <c r="H21" s="10"/>
      <c r="I21" s="84"/>
      <c r="J21" s="85"/>
      <c r="K21" s="85"/>
      <c r="L21" s="85"/>
      <c r="M21" s="85"/>
      <c r="N21" s="85"/>
      <c r="O21" s="85"/>
      <c r="P21" s="85"/>
      <c r="Q21" s="85"/>
      <c r="R21" s="85"/>
    </row>
    <row r="22" spans="1:18" s="50" customFormat="1" x14ac:dyDescent="0.25">
      <c r="A22" s="1"/>
      <c r="B22" s="1" t="s">
        <v>53</v>
      </c>
      <c r="C22" s="10">
        <f>'Raw IS'!K14</f>
        <v>527751</v>
      </c>
      <c r="D22" s="10">
        <f>'Raw IS'!L14</f>
        <v>476074</v>
      </c>
      <c r="E22" s="10">
        <f>'Raw IS'!M14</f>
        <v>343569</v>
      </c>
      <c r="F22" s="10">
        <f>'Raw IS'!D13</f>
        <v>367238</v>
      </c>
      <c r="G22" s="10">
        <f>'Raw IS'!E13</f>
        <v>349718</v>
      </c>
      <c r="H22" s="10">
        <f>'Raw IS'!F13</f>
        <v>358790</v>
      </c>
      <c r="I22" s="84">
        <f>I23*I11</f>
        <v>423600</v>
      </c>
      <c r="J22" s="85">
        <f t="shared" ref="J22:R22" si="20">J23*J11</f>
        <v>430360.00000000006</v>
      </c>
      <c r="K22" s="85">
        <f t="shared" si="20"/>
        <v>454230.00000000006</v>
      </c>
      <c r="L22" s="85">
        <f t="shared" si="20"/>
        <v>484000.00000000012</v>
      </c>
      <c r="M22" s="85">
        <f t="shared" si="20"/>
        <v>517000.00000000012</v>
      </c>
      <c r="N22" s="85">
        <f t="shared" si="20"/>
        <v>545435.00000000012</v>
      </c>
      <c r="O22" s="85">
        <f t="shared" si="20"/>
        <v>572706.75000000012</v>
      </c>
      <c r="P22" s="85">
        <f t="shared" si="20"/>
        <v>598478.55375000008</v>
      </c>
      <c r="Q22" s="85">
        <f t="shared" si="20"/>
        <v>622417.69590000005</v>
      </c>
      <c r="R22" s="85">
        <f t="shared" si="20"/>
        <v>647314.40373600018</v>
      </c>
    </row>
    <row r="23" spans="1:18" s="50" customFormat="1" x14ac:dyDescent="0.25">
      <c r="A23" s="1"/>
      <c r="B23" s="98" t="s">
        <v>19</v>
      </c>
      <c r="C23" s="99">
        <f>C22/C11</f>
        <v>0.17748263347072307</v>
      </c>
      <c r="D23" s="99">
        <f t="shared" ref="D23:H23" si="21">D22/D11</f>
        <v>0.15405305267245353</v>
      </c>
      <c r="E23" s="99">
        <f t="shared" si="21"/>
        <v>0.10606793591263856</v>
      </c>
      <c r="F23" s="99">
        <f t="shared" si="21"/>
        <v>9.1459507330323681E-2</v>
      </c>
      <c r="G23" s="99">
        <f t="shared" si="21"/>
        <v>7.5277556905138807E-2</v>
      </c>
      <c r="H23" s="99">
        <f t="shared" si="21"/>
        <v>0.10051832255234004</v>
      </c>
      <c r="I23" s="100">
        <v>0.12</v>
      </c>
      <c r="J23" s="101">
        <v>0.106</v>
      </c>
      <c r="K23" s="101">
        <v>0.10299999999999999</v>
      </c>
      <c r="L23" s="101">
        <v>0.1</v>
      </c>
      <c r="M23" s="101">
        <v>0.1</v>
      </c>
      <c r="N23" s="101">
        <v>0.1</v>
      </c>
      <c r="O23" s="101">
        <v>0.1</v>
      </c>
      <c r="P23" s="101">
        <v>0.1</v>
      </c>
      <c r="Q23" s="101">
        <v>0.1</v>
      </c>
      <c r="R23" s="101">
        <v>0.1</v>
      </c>
    </row>
    <row r="24" spans="1:18" s="50" customFormat="1" x14ac:dyDescent="0.25">
      <c r="A24" s="1"/>
      <c r="B24" s="1"/>
      <c r="C24" s="18"/>
      <c r="D24" s="18"/>
      <c r="E24" s="18"/>
      <c r="F24" s="18"/>
      <c r="G24" s="18"/>
      <c r="H24" s="18"/>
      <c r="I24" s="93"/>
      <c r="J24" s="85"/>
      <c r="K24" s="85"/>
      <c r="L24" s="85"/>
      <c r="M24" s="85"/>
      <c r="N24" s="85"/>
      <c r="O24" s="85"/>
      <c r="P24" s="85"/>
      <c r="Q24" s="85"/>
      <c r="R24" s="85"/>
    </row>
    <row r="25" spans="1:18" s="50" customFormat="1" x14ac:dyDescent="0.25">
      <c r="A25" s="1"/>
      <c r="B25" s="1" t="s">
        <v>13</v>
      </c>
      <c r="C25" s="10">
        <f>'Raw IS'!K15</f>
        <v>103830</v>
      </c>
      <c r="D25" s="10">
        <f>'Raw IS'!L15</f>
        <v>52161</v>
      </c>
      <c r="E25" s="10">
        <f>'Raw IS'!M15</f>
        <v>70564</v>
      </c>
      <c r="F25" s="10">
        <f>'Raw IS'!D14</f>
        <v>39306</v>
      </c>
      <c r="G25" s="10">
        <f>'Raw IS'!E14</f>
        <v>86745</v>
      </c>
      <c r="H25" s="10">
        <f>'Raw IS'!F14</f>
        <v>105143</v>
      </c>
      <c r="I25" s="94">
        <f>I26*I11</f>
        <v>105900</v>
      </c>
      <c r="J25" s="95">
        <f t="shared" ref="J25:R25" si="22">J26*J11</f>
        <v>81200.000000000015</v>
      </c>
      <c r="K25" s="95">
        <f t="shared" si="22"/>
        <v>97020.000000000015</v>
      </c>
      <c r="L25" s="95">
        <f t="shared" si="22"/>
        <v>101640.00000000003</v>
      </c>
      <c r="M25" s="95">
        <f t="shared" si="22"/>
        <v>108570.00000000003</v>
      </c>
      <c r="N25" s="95">
        <f t="shared" si="22"/>
        <v>114541.35000000002</v>
      </c>
      <c r="O25" s="95">
        <f t="shared" si="22"/>
        <v>120268.41750000003</v>
      </c>
      <c r="P25" s="95">
        <f t="shared" si="22"/>
        <v>125680.49628750002</v>
      </c>
      <c r="Q25" s="95">
        <f t="shared" si="22"/>
        <v>130707.71613900003</v>
      </c>
      <c r="R25" s="95">
        <f t="shared" si="22"/>
        <v>135936.02478456002</v>
      </c>
    </row>
    <row r="26" spans="1:18" s="50" customFormat="1" x14ac:dyDescent="0.25">
      <c r="A26" s="1"/>
      <c r="B26" s="98" t="s">
        <v>19</v>
      </c>
      <c r="C26" s="99">
        <f>C25/C11</f>
        <v>3.491802352485391E-2</v>
      </c>
      <c r="D26" s="99">
        <f t="shared" ref="D26:H26" si="23">D25/D11</f>
        <v>1.6878807245192657E-2</v>
      </c>
      <c r="E26" s="99">
        <f t="shared" si="23"/>
        <v>2.1784788003980069E-2</v>
      </c>
      <c r="F26" s="99">
        <f t="shared" si="23"/>
        <v>9.7890397919760553E-3</v>
      </c>
      <c r="G26" s="99">
        <f t="shared" si="23"/>
        <v>1.8672049118822209E-2</v>
      </c>
      <c r="H26" s="99">
        <f t="shared" si="23"/>
        <v>2.9456779698767217E-2</v>
      </c>
      <c r="I26" s="100">
        <v>0.03</v>
      </c>
      <c r="J26" s="101">
        <v>0.02</v>
      </c>
      <c r="K26" s="101">
        <v>2.1999999999999999E-2</v>
      </c>
      <c r="L26" s="101">
        <v>2.1000000000000001E-2</v>
      </c>
      <c r="M26" s="101">
        <v>2.1000000000000001E-2</v>
      </c>
      <c r="N26" s="101">
        <v>2.1000000000000001E-2</v>
      </c>
      <c r="O26" s="101">
        <v>2.1000000000000001E-2</v>
      </c>
      <c r="P26" s="101">
        <v>2.1000000000000001E-2</v>
      </c>
      <c r="Q26" s="101">
        <v>2.1000000000000001E-2</v>
      </c>
      <c r="R26" s="101">
        <v>2.1000000000000001E-2</v>
      </c>
    </row>
    <row r="27" spans="1:18" s="50" customFormat="1" x14ac:dyDescent="0.25">
      <c r="A27" s="1"/>
      <c r="B27" s="1"/>
      <c r="C27" s="10"/>
      <c r="D27" s="10"/>
      <c r="E27" s="10"/>
      <c r="F27" s="10"/>
      <c r="G27" s="10"/>
      <c r="H27" s="10"/>
      <c r="I27" s="94"/>
      <c r="J27" s="95"/>
      <c r="K27" s="95"/>
      <c r="L27" s="95"/>
      <c r="M27" s="95"/>
      <c r="N27" s="95"/>
      <c r="O27" s="95"/>
      <c r="P27" s="95"/>
      <c r="Q27" s="95"/>
      <c r="R27" s="95"/>
    </row>
    <row r="28" spans="1:18" s="50" customFormat="1" x14ac:dyDescent="0.25">
      <c r="A28" s="1"/>
      <c r="B28" s="1" t="s">
        <v>14</v>
      </c>
      <c r="C28" s="10">
        <f>C19+C22+C25</f>
        <v>1076684</v>
      </c>
      <c r="D28" s="10">
        <f>D19+D22+D25</f>
        <v>978717</v>
      </c>
      <c r="E28" s="10">
        <f>E19+E22+E25</f>
        <v>898547</v>
      </c>
      <c r="F28" s="10">
        <f>F19+F22+F25</f>
        <v>976939</v>
      </c>
      <c r="G28" s="10">
        <f>G19+G22+G25</f>
        <v>1060099</v>
      </c>
      <c r="H28" s="10">
        <f>H19+H22+H25</f>
        <v>1113774</v>
      </c>
      <c r="I28" s="94">
        <f>I19+I22+I25</f>
        <v>1175490</v>
      </c>
      <c r="J28" s="95">
        <f>J19+J22+J25</f>
        <v>1201760.0000000002</v>
      </c>
      <c r="K28" s="95">
        <f>K19+K22+K25</f>
        <v>1300950.0000000002</v>
      </c>
      <c r="L28" s="95">
        <f>L19+L22+L25</f>
        <v>1379400.0000000005</v>
      </c>
      <c r="M28" s="95">
        <f>M19+M22+M25</f>
        <v>1463110.0000000005</v>
      </c>
      <c r="N28" s="95">
        <f>N19+N22+N25</f>
        <v>1532672.3500000003</v>
      </c>
      <c r="O28" s="95">
        <f>O19+O22+O25</f>
        <v>1597851.8325000003</v>
      </c>
      <c r="P28" s="95">
        <f>P19+P22+P25</f>
        <v>1657785.5938875002</v>
      </c>
      <c r="Q28" s="95">
        <f>Q19+Q22+Q25</f>
        <v>1711648.6637250003</v>
      </c>
      <c r="R28" s="95">
        <f>R19+R22+R25</f>
        <v>1767168.3221992806</v>
      </c>
    </row>
    <row r="29" spans="1:18" s="50" customFormat="1" x14ac:dyDescent="0.25">
      <c r="A29" s="1"/>
      <c r="B29" s="98" t="s">
        <v>19</v>
      </c>
      <c r="C29" s="99">
        <f>C28/C11</f>
        <v>0.36208877242448051</v>
      </c>
      <c r="D29" s="99">
        <f>D28/D11</f>
        <v>0.31670358295648515</v>
      </c>
      <c r="E29" s="99">
        <f>E28/E11</f>
        <v>0.27740286699467542</v>
      </c>
      <c r="F29" s="99">
        <f>F28/F11</f>
        <v>0.24330368761342533</v>
      </c>
      <c r="G29" s="99">
        <f>G28/G11</f>
        <v>0.22818860566965596</v>
      </c>
      <c r="H29" s="99">
        <f>H28/H11</f>
        <v>0.31203404270578883</v>
      </c>
      <c r="I29" s="100">
        <f>I28/I11</f>
        <v>0.33300000000000002</v>
      </c>
      <c r="J29" s="101">
        <f>J28/J11</f>
        <v>0.29600000000000004</v>
      </c>
      <c r="K29" s="101">
        <f>K28/K11</f>
        <v>0.29499999999999998</v>
      </c>
      <c r="L29" s="101">
        <f>L28/L11</f>
        <v>0.28500000000000003</v>
      </c>
      <c r="M29" s="101">
        <f>M28/M11</f>
        <v>0.28300000000000003</v>
      </c>
      <c r="N29" s="101">
        <f>N28/N11</f>
        <v>0.28100000000000003</v>
      </c>
      <c r="O29" s="101">
        <f>O28/O11</f>
        <v>0.27900000000000003</v>
      </c>
      <c r="P29" s="101">
        <f>P28/P11</f>
        <v>0.27700000000000002</v>
      </c>
      <c r="Q29" s="101">
        <f>Q28/Q11</f>
        <v>0.27500000000000002</v>
      </c>
      <c r="R29" s="101">
        <f>R28/R11</f>
        <v>0.27300000000000002</v>
      </c>
    </row>
    <row r="30" spans="1:18" s="50" customFormat="1" x14ac:dyDescent="0.25">
      <c r="A30" s="1"/>
      <c r="B30" s="1"/>
      <c r="C30" s="13"/>
      <c r="D30" s="13"/>
      <c r="E30" s="13"/>
      <c r="F30" s="13"/>
      <c r="G30" s="13"/>
      <c r="H30" s="13"/>
      <c r="I30" s="86"/>
      <c r="J30" s="87"/>
      <c r="K30" s="87"/>
      <c r="L30" s="87"/>
      <c r="M30" s="87"/>
      <c r="N30" s="87"/>
      <c r="O30" s="87"/>
      <c r="P30" s="87"/>
      <c r="Q30" s="87"/>
      <c r="R30" s="87"/>
    </row>
    <row r="31" spans="1:18" s="50" customFormat="1" x14ac:dyDescent="0.25">
      <c r="A31" s="1"/>
      <c r="B31" s="1" t="s">
        <v>15</v>
      </c>
      <c r="C31" s="10">
        <f>C16-C28</f>
        <v>70282</v>
      </c>
      <c r="D31" s="10">
        <f>D16-D28</f>
        <v>216466</v>
      </c>
      <c r="E31" s="10">
        <f>E16-E28</f>
        <v>423216</v>
      </c>
      <c r="F31" s="10">
        <f>F16-F28</f>
        <v>906627</v>
      </c>
      <c r="G31" s="10">
        <f>G16-G28</f>
        <v>1226069</v>
      </c>
      <c r="H31" s="10">
        <f>H16-H28</f>
        <v>183168</v>
      </c>
      <c r="I31" s="94">
        <f>I16-I28</f>
        <v>365355</v>
      </c>
      <c r="J31" s="95">
        <f>J16-J28</f>
        <v>680456</v>
      </c>
      <c r="K31" s="95">
        <f>K16-K28</f>
        <v>895230.00000000023</v>
      </c>
      <c r="L31" s="95">
        <f>L16-L28</f>
        <v>1142240</v>
      </c>
      <c r="M31" s="95">
        <f>M16-M28</f>
        <v>1256310</v>
      </c>
      <c r="N31" s="95">
        <f>N16-N28</f>
        <v>1363587.5000000002</v>
      </c>
      <c r="O31" s="95">
        <f>O16-O28</f>
        <v>1471856.3475000004</v>
      </c>
      <c r="P31" s="95">
        <f>P16-P28</f>
        <v>1579983.3819000002</v>
      </c>
      <c r="Q31" s="95">
        <f>Q16-Q28</f>
        <v>1686751.9558890001</v>
      </c>
      <c r="R31" s="95">
        <f>R16-R28</f>
        <v>1799534.0423860804</v>
      </c>
    </row>
    <row r="32" spans="1:18" s="50" customFormat="1" x14ac:dyDescent="0.25">
      <c r="A32" s="1"/>
      <c r="B32" s="1" t="s">
        <v>16</v>
      </c>
      <c r="C32" s="80">
        <f>'Raw IS'!K19+'Raw IS'!K20+'Raw IS'!K21</f>
        <v>-53137</v>
      </c>
      <c r="D32" s="80">
        <f>'Raw IS'!L19+'Raw IS'!L20+'Raw IS'!L21</f>
        <v>-124674</v>
      </c>
      <c r="E32" s="80">
        <f>'Raw IS'!M19+'Raw IS'!M20+'Raw IS'!M21</f>
        <v>-28127</v>
      </c>
      <c r="F32" s="80">
        <f>'Raw IS'!D18+'Raw IS'!D19</f>
        <v>-99247</v>
      </c>
      <c r="G32" s="80">
        <f>'Raw IS'!E18+'Raw IS'!E19</f>
        <v>-44985</v>
      </c>
      <c r="H32" s="80">
        <f>'Raw IS'!F18+'Raw IS'!F19</f>
        <v>-58539</v>
      </c>
      <c r="I32" s="88">
        <f>I33*I11</f>
        <v>-84720</v>
      </c>
      <c r="J32" s="89">
        <f t="shared" ref="J32:R32" si="24">J33*J11</f>
        <v>-60900.000000000007</v>
      </c>
      <c r="K32" s="89">
        <f t="shared" si="24"/>
        <v>-88200.000000000015</v>
      </c>
      <c r="L32" s="89">
        <f t="shared" si="24"/>
        <v>-87120.000000000015</v>
      </c>
      <c r="M32" s="89">
        <f t="shared" si="24"/>
        <v>-95645.000000000015</v>
      </c>
      <c r="N32" s="89">
        <f t="shared" si="24"/>
        <v>-109087.00000000001</v>
      </c>
      <c r="O32" s="89">
        <f t="shared" si="24"/>
        <v>-114541.35000000002</v>
      </c>
      <c r="P32" s="89">
        <f t="shared" si="24"/>
        <v>-119695.71075000001</v>
      </c>
      <c r="Q32" s="89">
        <f t="shared" si="24"/>
        <v>-124483.53918000002</v>
      </c>
      <c r="R32" s="89">
        <f t="shared" si="24"/>
        <v>-129462.88074720003</v>
      </c>
    </row>
    <row r="33" spans="1:86" s="50" customFormat="1" x14ac:dyDescent="0.25">
      <c r="A33" s="1"/>
      <c r="B33" s="98" t="s">
        <v>19</v>
      </c>
      <c r="C33" s="99">
        <f>C32/C11</f>
        <v>-1.7869970297988657E-2</v>
      </c>
      <c r="D33" s="99">
        <f t="shared" ref="D33:H33" si="25">D32/D11</f>
        <v>-4.0343329585076006E-2</v>
      </c>
      <c r="E33" s="99">
        <f t="shared" si="25"/>
        <v>-8.6834750324237195E-3</v>
      </c>
      <c r="F33" s="99">
        <f t="shared" si="25"/>
        <v>-2.4717163594215833E-2</v>
      </c>
      <c r="G33" s="99">
        <f t="shared" si="25"/>
        <v>-9.6831186766985662E-3</v>
      </c>
      <c r="H33" s="99">
        <f t="shared" si="25"/>
        <v>-1.640023992834648E-2</v>
      </c>
      <c r="I33" s="102">
        <v>-2.4E-2</v>
      </c>
      <c r="J33" s="103">
        <v>-1.4999999999999999E-2</v>
      </c>
      <c r="K33" s="103">
        <v>-0.02</v>
      </c>
      <c r="L33" s="103">
        <v>-1.7999999999999999E-2</v>
      </c>
      <c r="M33" s="103">
        <v>-1.8499999999999999E-2</v>
      </c>
      <c r="N33" s="103">
        <v>-0.02</v>
      </c>
      <c r="O33" s="103">
        <v>-0.02</v>
      </c>
      <c r="P33" s="103">
        <v>-0.02</v>
      </c>
      <c r="Q33" s="103">
        <v>-0.02</v>
      </c>
      <c r="R33" s="103">
        <v>-0.02</v>
      </c>
    </row>
    <row r="34" spans="1:86" s="50" customFormat="1" x14ac:dyDescent="0.25">
      <c r="A34" s="1"/>
      <c r="B34" s="1"/>
      <c r="C34" s="19"/>
      <c r="D34" s="19"/>
      <c r="E34" s="19"/>
      <c r="F34" s="19"/>
      <c r="G34" s="19"/>
      <c r="H34" s="19"/>
      <c r="I34" s="88"/>
      <c r="J34" s="89"/>
      <c r="K34" s="89"/>
      <c r="L34" s="89"/>
      <c r="M34" s="89"/>
      <c r="N34" s="89"/>
      <c r="O34" s="89"/>
      <c r="P34" s="89"/>
      <c r="Q34" s="89"/>
      <c r="R34" s="89"/>
    </row>
    <row r="35" spans="1:86" s="50" customFormat="1" x14ac:dyDescent="0.25">
      <c r="A35" s="1"/>
      <c r="B35" s="1" t="s">
        <v>17</v>
      </c>
      <c r="C35" s="10">
        <f>C31+C32</f>
        <v>17145</v>
      </c>
      <c r="D35" s="10">
        <f t="shared" ref="D35:R35" si="26">D31+D32</f>
        <v>91792</v>
      </c>
      <c r="E35" s="10">
        <f t="shared" si="26"/>
        <v>395089</v>
      </c>
      <c r="F35" s="10">
        <f t="shared" si="26"/>
        <v>807380</v>
      </c>
      <c r="G35" s="10">
        <f t="shared" si="26"/>
        <v>1181084</v>
      </c>
      <c r="H35" s="10">
        <f t="shared" si="26"/>
        <v>124629</v>
      </c>
      <c r="I35" s="94">
        <f t="shared" si="26"/>
        <v>280635</v>
      </c>
      <c r="J35" s="95">
        <f t="shared" si="26"/>
        <v>619556</v>
      </c>
      <c r="K35" s="95">
        <f t="shared" si="26"/>
        <v>807030.00000000023</v>
      </c>
      <c r="L35" s="95">
        <f t="shared" si="26"/>
        <v>1055120</v>
      </c>
      <c r="M35" s="95">
        <f t="shared" si="26"/>
        <v>1160665</v>
      </c>
      <c r="N35" s="95">
        <f t="shared" si="26"/>
        <v>1254500.5000000002</v>
      </c>
      <c r="O35" s="95">
        <f t="shared" si="26"/>
        <v>1357314.9975000003</v>
      </c>
      <c r="P35" s="95">
        <f t="shared" si="26"/>
        <v>1460287.6711500001</v>
      </c>
      <c r="Q35" s="95">
        <f t="shared" si="26"/>
        <v>1562268.416709</v>
      </c>
      <c r="R35" s="95">
        <f t="shared" si="26"/>
        <v>1670071.1616388804</v>
      </c>
    </row>
    <row r="36" spans="1:86" s="50" customFormat="1" x14ac:dyDescent="0.25">
      <c r="A36" s="1"/>
      <c r="B36" s="1"/>
      <c r="C36" s="19"/>
      <c r="D36" s="19"/>
      <c r="E36" s="19"/>
      <c r="F36" s="19"/>
      <c r="G36" s="19"/>
      <c r="H36" s="19"/>
      <c r="I36" s="88"/>
      <c r="J36" s="89"/>
      <c r="K36" s="89"/>
      <c r="L36" s="89"/>
      <c r="M36" s="89"/>
      <c r="N36" s="89"/>
      <c r="O36" s="89"/>
      <c r="P36" s="89"/>
      <c r="Q36" s="89"/>
      <c r="R36" s="89"/>
    </row>
    <row r="37" spans="1:86" s="50" customFormat="1" x14ac:dyDescent="0.25">
      <c r="A37" s="1"/>
      <c r="B37" s="1" t="s">
        <v>18</v>
      </c>
      <c r="C37" s="10">
        <f t="shared" ref="C37:H37" si="27">C31</f>
        <v>70282</v>
      </c>
      <c r="D37" s="10">
        <f t="shared" si="27"/>
        <v>216466</v>
      </c>
      <c r="E37" s="10">
        <f t="shared" si="27"/>
        <v>423216</v>
      </c>
      <c r="F37" s="10">
        <f t="shared" si="27"/>
        <v>906627</v>
      </c>
      <c r="G37" s="10">
        <f t="shared" si="27"/>
        <v>1226069</v>
      </c>
      <c r="H37" s="10">
        <f t="shared" si="27"/>
        <v>183168</v>
      </c>
      <c r="I37" s="94">
        <f t="shared" ref="I37:R37" si="28">I31</f>
        <v>365355</v>
      </c>
      <c r="J37" s="95">
        <f t="shared" si="28"/>
        <v>680456</v>
      </c>
      <c r="K37" s="95">
        <f t="shared" si="28"/>
        <v>895230.00000000023</v>
      </c>
      <c r="L37" s="95">
        <f t="shared" si="28"/>
        <v>1142240</v>
      </c>
      <c r="M37" s="95">
        <f t="shared" si="28"/>
        <v>1256310</v>
      </c>
      <c r="N37" s="95">
        <f t="shared" si="28"/>
        <v>1363587.5000000002</v>
      </c>
      <c r="O37" s="95">
        <f t="shared" si="28"/>
        <v>1471856.3475000004</v>
      </c>
      <c r="P37" s="95">
        <f t="shared" si="28"/>
        <v>1579983.3819000002</v>
      </c>
      <c r="Q37" s="95">
        <f t="shared" si="28"/>
        <v>1686751.9558890001</v>
      </c>
      <c r="R37" s="95">
        <f t="shared" si="28"/>
        <v>1799534.0423860804</v>
      </c>
    </row>
    <row r="38" spans="1:86" s="50" customFormat="1" x14ac:dyDescent="0.25">
      <c r="A38" s="1"/>
      <c r="B38" s="98" t="s">
        <v>19</v>
      </c>
      <c r="C38" s="99">
        <f>C37/C11</f>
        <v>2.3635832893901403E-2</v>
      </c>
      <c r="D38" s="99">
        <f>D37/D11</f>
        <v>7.0046354347843676E-2</v>
      </c>
      <c r="E38" s="99">
        <f>E37/E11</f>
        <v>0.13065686242124069</v>
      </c>
      <c r="F38" s="99">
        <f>F37/F11</f>
        <v>0.22579269779371788</v>
      </c>
      <c r="G38" s="99">
        <f>G37/G11</f>
        <v>0.26391400762078765</v>
      </c>
      <c r="H38" s="99">
        <f>H37/H11</f>
        <v>5.1316201971256227E-2</v>
      </c>
      <c r="I38" s="100">
        <f>I37/I11</f>
        <v>0.10349999999999999</v>
      </c>
      <c r="J38" s="101">
        <f>J37/J11</f>
        <v>0.16759999999999997</v>
      </c>
      <c r="K38" s="101">
        <f>K37/K11</f>
        <v>0.20300000000000001</v>
      </c>
      <c r="L38" s="101">
        <f>L37/L11</f>
        <v>0.23599999999999996</v>
      </c>
      <c r="M38" s="101">
        <f>M37/M11</f>
        <v>0.24299999999999997</v>
      </c>
      <c r="N38" s="101">
        <f>N37/N11</f>
        <v>0.25</v>
      </c>
      <c r="O38" s="101">
        <f>O37/O11</f>
        <v>0.25700000000000001</v>
      </c>
      <c r="P38" s="101">
        <f>P37/P11</f>
        <v>0.26400000000000001</v>
      </c>
      <c r="Q38" s="101">
        <f>Q37/Q11</f>
        <v>0.27099999999999996</v>
      </c>
      <c r="R38" s="101">
        <f>R37/R11</f>
        <v>0.27800000000000002</v>
      </c>
    </row>
    <row r="39" spans="1:86" s="50" customFormat="1" x14ac:dyDescent="0.25">
      <c r="A39" s="1"/>
      <c r="B39" s="12"/>
      <c r="C39" s="1"/>
      <c r="D39" s="1"/>
      <c r="E39" s="1"/>
      <c r="F39" s="2"/>
      <c r="G39" s="1"/>
      <c r="H39" s="1"/>
      <c r="I39" s="88"/>
      <c r="J39" s="89"/>
      <c r="K39" s="89"/>
      <c r="L39" s="89"/>
      <c r="M39" s="89"/>
      <c r="N39" s="89"/>
      <c r="O39" s="89"/>
      <c r="P39" s="89"/>
      <c r="Q39" s="89"/>
      <c r="R39" s="89"/>
    </row>
    <row r="40" spans="1:86" s="50" customFormat="1" x14ac:dyDescent="0.25">
      <c r="A40" s="1"/>
      <c r="B40" s="1" t="s">
        <v>20</v>
      </c>
      <c r="C40" s="17">
        <f>'Raw IS'!K24</f>
        <v>-57433</v>
      </c>
      <c r="D40" s="17">
        <f>'Raw IS'!L24</f>
        <v>41333</v>
      </c>
      <c r="E40" s="17">
        <f>'Raw IS'!M24</f>
        <v>-60764</v>
      </c>
      <c r="F40" s="20">
        <f>'Raw IS'!D22</f>
        <v>-73769</v>
      </c>
      <c r="G40" s="20">
        <f>'Raw IS'!E22</f>
        <v>-147731</v>
      </c>
      <c r="H40" s="20">
        <f>'Raw IS'!F22</f>
        <v>-21477</v>
      </c>
      <c r="I40" s="84">
        <f>I41*I37</f>
        <v>-50455.525500000003</v>
      </c>
      <c r="J40" s="85">
        <f t="shared" ref="J40:R40" si="29">J41*J37</f>
        <v>-93018.335199999987</v>
      </c>
      <c r="K40" s="85">
        <f t="shared" si="29"/>
        <v>-125332.20000000004</v>
      </c>
      <c r="L40" s="85">
        <f t="shared" si="29"/>
        <v>-159913.60000000001</v>
      </c>
      <c r="M40" s="85">
        <f t="shared" si="29"/>
        <v>-175883.40000000002</v>
      </c>
      <c r="N40" s="85">
        <f t="shared" si="29"/>
        <v>-190902.25000000006</v>
      </c>
      <c r="O40" s="85">
        <f t="shared" si="29"/>
        <v>-206059.88865000007</v>
      </c>
      <c r="P40" s="85">
        <f t="shared" si="29"/>
        <v>-221197.67346600004</v>
      </c>
      <c r="Q40" s="85">
        <f t="shared" si="29"/>
        <v>-236145.27382446005</v>
      </c>
      <c r="R40" s="85">
        <f t="shared" si="29"/>
        <v>-251934.76593405128</v>
      </c>
    </row>
    <row r="41" spans="1:86" s="50" customFormat="1" x14ac:dyDescent="0.25">
      <c r="A41" s="1"/>
      <c r="B41" s="98" t="s">
        <v>21</v>
      </c>
      <c r="C41" s="99">
        <f>C40/C37</f>
        <v>-0.8171793631370764</v>
      </c>
      <c r="D41" s="99">
        <f>D40/D37</f>
        <v>0.19094453632441122</v>
      </c>
      <c r="E41" s="99">
        <f t="shared" ref="E41:H41" si="30">E40/E37</f>
        <v>-0.14357680238932366</v>
      </c>
      <c r="F41" s="99">
        <f t="shared" si="30"/>
        <v>-8.1366427428258808E-2</v>
      </c>
      <c r="G41" s="99">
        <f t="shared" si="30"/>
        <v>-0.12049158734133233</v>
      </c>
      <c r="H41" s="99">
        <f t="shared" si="30"/>
        <v>-0.11725301362683438</v>
      </c>
      <c r="I41" s="104">
        <v>-0.1381</v>
      </c>
      <c r="J41" s="105">
        <v>-0.13669999999999999</v>
      </c>
      <c r="K41" s="105">
        <v>-0.14000000000000001</v>
      </c>
      <c r="L41" s="105">
        <v>-0.14000000000000001</v>
      </c>
      <c r="M41" s="105">
        <v>-0.14000000000000001</v>
      </c>
      <c r="N41" s="105">
        <v>-0.14000000000000001</v>
      </c>
      <c r="O41" s="105">
        <v>-0.14000000000000001</v>
      </c>
      <c r="P41" s="105">
        <v>-0.14000000000000001</v>
      </c>
      <c r="Q41" s="105">
        <v>-0.14000000000000001</v>
      </c>
      <c r="R41" s="105">
        <v>-0.14000000000000001</v>
      </c>
      <c r="S41" s="81"/>
    </row>
    <row r="42" spans="1:86" s="50" customFormat="1" x14ac:dyDescent="0.25">
      <c r="A42" s="1"/>
      <c r="B42" s="1"/>
      <c r="C42" s="1"/>
      <c r="D42" s="1"/>
      <c r="E42" s="1"/>
      <c r="F42" s="1"/>
      <c r="G42" s="1"/>
      <c r="H42" s="1"/>
      <c r="I42" s="88"/>
      <c r="J42" s="89"/>
      <c r="K42" s="89"/>
      <c r="L42" s="89"/>
      <c r="M42" s="89"/>
      <c r="N42" s="89"/>
      <c r="O42" s="89"/>
      <c r="P42" s="89"/>
      <c r="Q42" s="89"/>
      <c r="R42" s="89"/>
    </row>
    <row r="43" spans="1:86" s="50" customFormat="1" x14ac:dyDescent="0.25">
      <c r="A43" s="1"/>
      <c r="B43" s="9" t="s">
        <v>22</v>
      </c>
      <c r="C43" s="9">
        <v>2018</v>
      </c>
      <c r="D43" s="9">
        <v>2019</v>
      </c>
      <c r="E43" s="9">
        <v>2020</v>
      </c>
      <c r="F43" s="9">
        <v>2021</v>
      </c>
      <c r="G43" s="9">
        <v>2022</v>
      </c>
      <c r="H43" s="9">
        <v>2023</v>
      </c>
      <c r="I43" s="96">
        <v>2023</v>
      </c>
      <c r="J43" s="97">
        <v>2024</v>
      </c>
      <c r="K43" s="97">
        <v>2025</v>
      </c>
      <c r="L43" s="97">
        <v>2026</v>
      </c>
      <c r="M43" s="97">
        <v>2027</v>
      </c>
      <c r="N43" s="97">
        <v>2028</v>
      </c>
      <c r="O43" s="97">
        <v>2029</v>
      </c>
      <c r="P43" s="97">
        <v>2030</v>
      </c>
      <c r="Q43" s="97">
        <v>2031</v>
      </c>
      <c r="R43" s="97">
        <v>2032</v>
      </c>
      <c r="S43" s="51">
        <v>2033</v>
      </c>
      <c r="T43" s="51">
        <v>2034</v>
      </c>
      <c r="U43" s="51">
        <v>2035</v>
      </c>
      <c r="V43" s="51">
        <v>2036</v>
      </c>
      <c r="W43" s="51">
        <v>2037</v>
      </c>
      <c r="X43" s="51">
        <v>2038</v>
      </c>
      <c r="Y43" s="51">
        <v>2039</v>
      </c>
      <c r="Z43" s="51">
        <v>2040</v>
      </c>
      <c r="AA43" s="51">
        <v>2041</v>
      </c>
      <c r="AB43" s="51">
        <v>2042</v>
      </c>
      <c r="AC43" s="51">
        <v>2043</v>
      </c>
      <c r="AD43" s="51">
        <v>2044</v>
      </c>
      <c r="AE43" s="51">
        <v>2045</v>
      </c>
      <c r="AF43" s="51">
        <v>2046</v>
      </c>
      <c r="AG43" s="51">
        <v>2047</v>
      </c>
      <c r="AH43" s="51">
        <v>2048</v>
      </c>
      <c r="AI43" s="51">
        <v>2049</v>
      </c>
      <c r="AJ43" s="51">
        <v>2050</v>
      </c>
      <c r="AK43" s="51">
        <v>2051</v>
      </c>
      <c r="AL43" s="51">
        <v>2052</v>
      </c>
      <c r="AM43" s="51">
        <v>2053</v>
      </c>
      <c r="AN43" s="51">
        <v>2054</v>
      </c>
      <c r="AO43" s="51">
        <v>2055</v>
      </c>
      <c r="AP43" s="51">
        <v>2056</v>
      </c>
      <c r="AQ43" s="51">
        <v>2057</v>
      </c>
      <c r="AR43" s="51">
        <v>2058</v>
      </c>
      <c r="AS43" s="51">
        <v>2059</v>
      </c>
      <c r="AT43" s="51">
        <v>2060</v>
      </c>
      <c r="AU43" s="51">
        <v>2061</v>
      </c>
      <c r="AV43" s="51">
        <v>2062</v>
      </c>
      <c r="AW43" s="51">
        <v>2063</v>
      </c>
      <c r="AX43" s="51">
        <v>2064</v>
      </c>
      <c r="AY43" s="51">
        <v>2065</v>
      </c>
      <c r="AZ43" s="51">
        <v>2066</v>
      </c>
      <c r="BA43" s="51">
        <v>2067</v>
      </c>
      <c r="BB43" s="51">
        <v>2068</v>
      </c>
      <c r="BC43" s="51">
        <v>2069</v>
      </c>
      <c r="BD43" s="51">
        <v>2070</v>
      </c>
      <c r="BE43" s="51">
        <v>2071</v>
      </c>
      <c r="BF43" s="51">
        <v>2072</v>
      </c>
      <c r="BG43" s="51">
        <v>2073</v>
      </c>
      <c r="BH43" s="51">
        <v>2074</v>
      </c>
      <c r="BI43" s="51">
        <v>2075</v>
      </c>
      <c r="BJ43" s="51">
        <v>2076</v>
      </c>
      <c r="BK43" s="51">
        <v>2077</v>
      </c>
      <c r="BL43" s="51">
        <v>2078</v>
      </c>
      <c r="BM43" s="51">
        <v>2079</v>
      </c>
      <c r="BN43" s="51">
        <v>2080</v>
      </c>
      <c r="BO43" s="51">
        <v>2081</v>
      </c>
      <c r="BP43" s="51">
        <v>2082</v>
      </c>
      <c r="BQ43" s="51">
        <v>2083</v>
      </c>
      <c r="BR43" s="51">
        <v>2084</v>
      </c>
      <c r="BS43" s="51">
        <v>2085</v>
      </c>
      <c r="BT43" s="51">
        <v>2086</v>
      </c>
      <c r="BU43" s="51">
        <v>2087</v>
      </c>
      <c r="BV43" s="51">
        <v>2088</v>
      </c>
      <c r="BW43" s="51">
        <v>2089</v>
      </c>
      <c r="BX43" s="51">
        <v>2090</v>
      </c>
      <c r="BY43" s="51">
        <v>2091</v>
      </c>
      <c r="BZ43" s="51">
        <v>2092</v>
      </c>
      <c r="CA43" s="51">
        <v>2093</v>
      </c>
      <c r="CB43" s="51">
        <v>2094</v>
      </c>
      <c r="CC43" s="51">
        <v>2095</v>
      </c>
      <c r="CD43" s="51">
        <v>2096</v>
      </c>
      <c r="CE43" s="51">
        <v>2097</v>
      </c>
      <c r="CF43" s="51">
        <v>2098</v>
      </c>
      <c r="CG43" s="51">
        <v>2099</v>
      </c>
      <c r="CH43" s="51">
        <v>2100</v>
      </c>
    </row>
    <row r="44" spans="1:86" s="50" customFormat="1" x14ac:dyDescent="0.25">
      <c r="A44" s="1"/>
      <c r="B44" s="1" t="s">
        <v>23</v>
      </c>
      <c r="C44" s="10">
        <f>'Raw CF'!J10+'Raw CF'!J11</f>
        <v>714215</v>
      </c>
      <c r="D44" s="10">
        <f>'Raw CF'!K10+'Raw CF'!K11</f>
        <v>663097</v>
      </c>
      <c r="E44" s="10">
        <f>'Raw CF'!L10+'Raw CF'!L11</f>
        <v>468931</v>
      </c>
      <c r="F44" s="20">
        <f>'Raw CF'!D9+'Raw CF'!D10</f>
        <v>456104</v>
      </c>
      <c r="G44" s="20">
        <f>'Raw CF'!E9+'Raw CF'!E10</f>
        <v>361415</v>
      </c>
      <c r="H44" s="20">
        <f>'Raw CF'!F9+'Raw CF'!F10</f>
        <v>338848</v>
      </c>
      <c r="I44" s="84">
        <v>217920</v>
      </c>
      <c r="J44" s="85">
        <v>233830</v>
      </c>
      <c r="K44" s="85">
        <v>212880</v>
      </c>
      <c r="L44" s="85">
        <v>321810</v>
      </c>
      <c r="M44" s="85">
        <v>343580</v>
      </c>
      <c r="N44" s="85">
        <f>N45*N11</f>
        <v>348841.02500000002</v>
      </c>
      <c r="O44" s="85">
        <f>O45*O11</f>
        <v>351965.40749999997</v>
      </c>
      <c r="P44" s="85">
        <f>P45*P11</f>
        <v>352841.88699374994</v>
      </c>
      <c r="Q44" s="85">
        <f>Q45*Q11</f>
        <v>351395.12007599993</v>
      </c>
      <c r="R44" s="85">
        <f>R45*R11</f>
        <v>349268.06478563993</v>
      </c>
    </row>
    <row r="45" spans="1:86" s="50" customFormat="1" x14ac:dyDescent="0.25">
      <c r="A45" s="1"/>
      <c r="B45" s="98" t="s">
        <v>19</v>
      </c>
      <c r="C45" s="99">
        <f>C44/C11</f>
        <v>0.2401904668381348</v>
      </c>
      <c r="D45" s="99">
        <f>D44/D11</f>
        <v>0.2145719301367979</v>
      </c>
      <c r="E45" s="99">
        <f>E44/E11</f>
        <v>0.14477017209192189</v>
      </c>
      <c r="F45" s="99">
        <f>F44/F11</f>
        <v>0.11359131443747639</v>
      </c>
      <c r="G45" s="99">
        <f>G44/G11</f>
        <v>7.779536148802961E-2</v>
      </c>
      <c r="H45" s="99">
        <f>H44/H11</f>
        <v>9.493138760895041E-2</v>
      </c>
      <c r="I45" s="100">
        <f t="shared" ref="I45:R45" si="31">I44/I11</f>
        <v>6.173371104815864E-2</v>
      </c>
      <c r="J45" s="101">
        <f t="shared" si="31"/>
        <v>5.7593596059113294E-2</v>
      </c>
      <c r="K45" s="101">
        <f t="shared" si="31"/>
        <v>4.8272108843537408E-2</v>
      </c>
      <c r="L45" s="101">
        <f t="shared" si="31"/>
        <v>6.6489669421487596E-2</v>
      </c>
      <c r="M45" s="101">
        <f t="shared" si="31"/>
        <v>6.6456479690522235E-2</v>
      </c>
      <c r="N45" s="101">
        <f>M45-0.25%</f>
        <v>6.3956479690522233E-2</v>
      </c>
      <c r="O45" s="101">
        <f t="shared" ref="O45:R45" si="32">N45-0.25%</f>
        <v>6.1456479690522231E-2</v>
      </c>
      <c r="P45" s="101">
        <f t="shared" si="32"/>
        <v>5.8956479690522229E-2</v>
      </c>
      <c r="Q45" s="101">
        <f t="shared" si="32"/>
        <v>5.6456479690522227E-2</v>
      </c>
      <c r="R45" s="101">
        <f t="shared" si="32"/>
        <v>5.3956479690522224E-2</v>
      </c>
    </row>
    <row r="46" spans="1:86" s="50" customFormat="1" x14ac:dyDescent="0.25">
      <c r="A46" s="1"/>
      <c r="B46" s="1"/>
      <c r="C46" s="1"/>
      <c r="D46" s="1"/>
      <c r="E46" s="1"/>
      <c r="F46" s="2"/>
      <c r="G46" s="1"/>
      <c r="H46" s="1"/>
      <c r="I46" s="88"/>
      <c r="J46" s="89"/>
      <c r="K46" s="89"/>
      <c r="L46" s="89"/>
      <c r="M46" s="89"/>
      <c r="N46" s="89"/>
      <c r="O46" s="89"/>
      <c r="P46" s="89"/>
      <c r="Q46" s="89"/>
      <c r="R46" s="89"/>
    </row>
    <row r="47" spans="1:86" s="50" customFormat="1" x14ac:dyDescent="0.25">
      <c r="A47" s="1"/>
      <c r="B47" s="1" t="s">
        <v>24</v>
      </c>
      <c r="C47" s="10">
        <f>'Raw CF'!J30</f>
        <v>-269835</v>
      </c>
      <c r="D47" s="10">
        <f>'Raw CF'!K30</f>
        <v>-220937</v>
      </c>
      <c r="E47" s="10">
        <f>'Raw CF'!L30</f>
        <v>-164104</v>
      </c>
      <c r="F47" s="20">
        <f>'Raw CF'!D27</f>
        <v>-186960</v>
      </c>
      <c r="G47" s="20">
        <f>'Raw CF'!E27</f>
        <v>-213466</v>
      </c>
      <c r="H47" s="20">
        <f>'Raw CF'!F27</f>
        <v>-158953</v>
      </c>
      <c r="I47" s="84">
        <v>-196180</v>
      </c>
      <c r="J47" s="85">
        <v>-242360</v>
      </c>
      <c r="K47" s="85">
        <v>-318660</v>
      </c>
      <c r="L47" s="85">
        <v>-338750</v>
      </c>
      <c r="M47" s="85">
        <v>-361670</v>
      </c>
      <c r="N47" s="85">
        <f>N48*N11</f>
        <v>-376107.5</v>
      </c>
      <c r="O47" s="85">
        <f>O48*O11</f>
        <v>-389185.8075</v>
      </c>
      <c r="P47" s="85">
        <f>P48*P11</f>
        <v>-400714.38329999993</v>
      </c>
      <c r="Q47" s="85">
        <f>Q48*Q11</f>
        <v>-410518.78167299996</v>
      </c>
      <c r="R47" s="85">
        <f>R48*R11</f>
        <v>-420466.38890255999</v>
      </c>
    </row>
    <row r="48" spans="1:86" s="50" customFormat="1" x14ac:dyDescent="0.25">
      <c r="A48" s="1"/>
      <c r="B48" s="98" t="s">
        <v>19</v>
      </c>
      <c r="C48" s="99">
        <f>C47/C11</f>
        <v>-9.0745496271106188E-2</v>
      </c>
      <c r="D48" s="99">
        <f>D47/D11</f>
        <v>-7.1493127745463667E-2</v>
      </c>
      <c r="E48" s="99">
        <f>E47/E11</f>
        <v>-5.0662814616591251E-2</v>
      </c>
      <c r="F48" s="99">
        <f>F47/F11</f>
        <v>-4.6561819557010213E-2</v>
      </c>
      <c r="G48" s="99">
        <f>G47/G11</f>
        <v>-4.5949018816052817E-2</v>
      </c>
      <c r="H48" s="99">
        <f>H47/H11</f>
        <v>-4.4532146728342784E-2</v>
      </c>
      <c r="I48" s="100">
        <f t="shared" ref="I48:R48" si="33">I47/I11</f>
        <v>-5.5575070821529744E-2</v>
      </c>
      <c r="J48" s="101">
        <f t="shared" si="33"/>
        <v>-5.9694581280788167E-2</v>
      </c>
      <c r="K48" s="101">
        <f t="shared" si="33"/>
        <v>-7.225850340136053E-2</v>
      </c>
      <c r="L48" s="101">
        <f t="shared" si="33"/>
        <v>-6.9989669421487585E-2</v>
      </c>
      <c r="M48" s="101">
        <f t="shared" si="33"/>
        <v>-6.9955512572533837E-2</v>
      </c>
      <c r="N48" s="101">
        <f>M48+0.1%</f>
        <v>-6.8955512572533836E-2</v>
      </c>
      <c r="O48" s="101">
        <f t="shared" ref="O48:R48" si="34">N48+0.1%</f>
        <v>-6.7955512572533835E-2</v>
      </c>
      <c r="P48" s="101">
        <f t="shared" si="34"/>
        <v>-6.6955512572533835E-2</v>
      </c>
      <c r="Q48" s="101">
        <f t="shared" si="34"/>
        <v>-6.5955512572533834E-2</v>
      </c>
      <c r="R48" s="101">
        <f t="shared" si="34"/>
        <v>-6.4955512572533833E-2</v>
      </c>
    </row>
    <row r="49" spans="1:86" s="50" customFormat="1" x14ac:dyDescent="0.25">
      <c r="A49" s="1"/>
      <c r="B49" s="1"/>
      <c r="C49" s="1"/>
      <c r="D49" s="1"/>
      <c r="E49" s="1"/>
      <c r="F49" s="2"/>
      <c r="G49" s="1"/>
      <c r="H49" s="1"/>
      <c r="I49" s="88"/>
      <c r="J49" s="89"/>
      <c r="K49" s="89"/>
      <c r="L49" s="89"/>
      <c r="M49" s="89"/>
      <c r="N49" s="89"/>
      <c r="O49" s="89"/>
      <c r="P49" s="89"/>
      <c r="Q49" s="89"/>
      <c r="R49" s="89"/>
    </row>
    <row r="50" spans="1:86" s="50" customFormat="1" x14ac:dyDescent="0.25">
      <c r="A50" s="1"/>
      <c r="B50" s="1" t="s">
        <v>25</v>
      </c>
      <c r="C50" s="34">
        <f>SUM('Raw CF'!J21:J27)</f>
        <v>90695</v>
      </c>
      <c r="D50" s="34">
        <f>SUM('Raw CF'!K21:K27)</f>
        <v>-96082</v>
      </c>
      <c r="E50" s="34">
        <f>SUM('Raw CF'!L21:L27)</f>
        <v>92245</v>
      </c>
      <c r="F50" s="2">
        <f>SUM('Raw CF'!D18:D24)</f>
        <v>-21663</v>
      </c>
      <c r="G50" s="2">
        <f>SUM('Raw CF'!E18:E24)</f>
        <v>-523801</v>
      </c>
      <c r="H50" s="2">
        <f>SUM('Raw CF'!F18:F24)</f>
        <v>96985</v>
      </c>
      <c r="I50" s="84">
        <f>I51*I11</f>
        <v>35300</v>
      </c>
      <c r="J50" s="85">
        <f>J51*J11</f>
        <v>40600.000000000007</v>
      </c>
      <c r="K50" s="85">
        <f>K51*K11</f>
        <v>44100.000000000007</v>
      </c>
      <c r="L50" s="85">
        <f>L51*L11</f>
        <v>48400.000000000007</v>
      </c>
      <c r="M50" s="85">
        <f>M51*M11</f>
        <v>51700.000000000007</v>
      </c>
      <c r="N50" s="85">
        <f>N51*N11</f>
        <v>54543.500000000007</v>
      </c>
      <c r="O50" s="85">
        <f>O51*O11</f>
        <v>57270.67500000001</v>
      </c>
      <c r="P50" s="85">
        <f>P51*P11</f>
        <v>59847.855375000006</v>
      </c>
      <c r="Q50" s="85">
        <f>Q51*Q11</f>
        <v>62241.769590000011</v>
      </c>
      <c r="R50" s="85">
        <f>R51*R11</f>
        <v>64731.440373600017</v>
      </c>
    </row>
    <row r="51" spans="1:86" s="50" customFormat="1" x14ac:dyDescent="0.25">
      <c r="A51" s="1"/>
      <c r="B51" s="98" t="s">
        <v>19</v>
      </c>
      <c r="C51" s="99">
        <f>C50/C11</f>
        <v>3.0500723717486522E-2</v>
      </c>
      <c r="D51" s="99">
        <f>D50/D11</f>
        <v>-3.1091228268871396E-2</v>
      </c>
      <c r="E51" s="99">
        <f>E50/E11</f>
        <v>2.8478229258930069E-2</v>
      </c>
      <c r="F51" s="99">
        <f>F50/F11</f>
        <v>-5.3951042846786057E-3</v>
      </c>
      <c r="G51" s="99">
        <f>G50/G11</f>
        <v>-0.1127492996770787</v>
      </c>
      <c r="H51" s="99">
        <f>H50/H11</f>
        <v>2.7171240872763174E-2</v>
      </c>
      <c r="I51" s="106">
        <v>0.01</v>
      </c>
      <c r="J51" s="107">
        <v>0.01</v>
      </c>
      <c r="K51" s="107">
        <v>0.01</v>
      </c>
      <c r="L51" s="107">
        <v>0.01</v>
      </c>
      <c r="M51" s="107">
        <v>0.01</v>
      </c>
      <c r="N51" s="107">
        <v>0.01</v>
      </c>
      <c r="O51" s="107">
        <v>0.01</v>
      </c>
      <c r="P51" s="107">
        <v>0.01</v>
      </c>
      <c r="Q51" s="107">
        <v>0.01</v>
      </c>
      <c r="R51" s="107">
        <v>0.01</v>
      </c>
    </row>
    <row r="52" spans="1:86" s="50" customFormat="1" x14ac:dyDescent="0.25">
      <c r="A52" s="1"/>
      <c r="B52" s="1"/>
      <c r="C52" s="1"/>
      <c r="D52" s="1"/>
      <c r="E52" s="1"/>
      <c r="F52" s="1"/>
      <c r="G52" s="1"/>
      <c r="H52" s="1"/>
      <c r="I52" s="88"/>
      <c r="J52" s="89"/>
      <c r="K52" s="89"/>
      <c r="L52" s="89"/>
      <c r="M52" s="89"/>
      <c r="N52" s="89"/>
      <c r="O52" s="89"/>
      <c r="P52" s="89"/>
      <c r="Q52" s="89"/>
      <c r="R52" s="89"/>
    </row>
    <row r="53" spans="1:86" s="50" customFormat="1" x14ac:dyDescent="0.25">
      <c r="A53" s="1"/>
      <c r="B53" s="9" t="s">
        <v>26</v>
      </c>
      <c r="C53" s="10">
        <f>C37+C40</f>
        <v>12849</v>
      </c>
      <c r="D53" s="10">
        <f t="shared" ref="D53:R53" si="35">D37+D40</f>
        <v>257799</v>
      </c>
      <c r="E53" s="10">
        <f t="shared" si="35"/>
        <v>362452</v>
      </c>
      <c r="F53" s="10">
        <f t="shared" si="35"/>
        <v>832858</v>
      </c>
      <c r="G53" s="10">
        <f t="shared" si="35"/>
        <v>1078338</v>
      </c>
      <c r="H53" s="10">
        <f t="shared" si="35"/>
        <v>161691</v>
      </c>
      <c r="I53" s="94">
        <f t="shared" si="35"/>
        <v>314899.47450000001</v>
      </c>
      <c r="J53" s="95">
        <f t="shared" si="35"/>
        <v>587437.66480000003</v>
      </c>
      <c r="K53" s="95">
        <f t="shared" si="35"/>
        <v>769897.80000000016</v>
      </c>
      <c r="L53" s="95">
        <f t="shared" si="35"/>
        <v>982326.4</v>
      </c>
      <c r="M53" s="95">
        <f t="shared" si="35"/>
        <v>1080426.6000000001</v>
      </c>
      <c r="N53" s="95">
        <f t="shared" si="35"/>
        <v>1172685.2500000002</v>
      </c>
      <c r="O53" s="95">
        <f t="shared" si="35"/>
        <v>1265796.4588500003</v>
      </c>
      <c r="P53" s="95">
        <f t="shared" si="35"/>
        <v>1358785.7084340001</v>
      </c>
      <c r="Q53" s="95">
        <f t="shared" si="35"/>
        <v>1450606.68206454</v>
      </c>
      <c r="R53" s="95">
        <f t="shared" si="35"/>
        <v>1547599.2764520291</v>
      </c>
    </row>
    <row r="54" spans="1:86" s="50" customFormat="1" x14ac:dyDescent="0.25">
      <c r="A54" s="1"/>
      <c r="B54" s="9" t="s">
        <v>27</v>
      </c>
      <c r="C54" s="10">
        <f>C35+C40</f>
        <v>-40288</v>
      </c>
      <c r="D54" s="10">
        <f t="shared" ref="D54:R54" si="36">D35+D40</f>
        <v>133125</v>
      </c>
      <c r="E54" s="10">
        <f t="shared" si="36"/>
        <v>334325</v>
      </c>
      <c r="F54" s="10">
        <f t="shared" si="36"/>
        <v>733611</v>
      </c>
      <c r="G54" s="10">
        <f t="shared" si="36"/>
        <v>1033353</v>
      </c>
      <c r="H54" s="10">
        <f t="shared" si="36"/>
        <v>103152</v>
      </c>
      <c r="I54" s="94">
        <f t="shared" si="36"/>
        <v>230179.47450000001</v>
      </c>
      <c r="J54" s="95">
        <f t="shared" si="36"/>
        <v>526537.66480000003</v>
      </c>
      <c r="K54" s="95">
        <f t="shared" si="36"/>
        <v>681697.80000000016</v>
      </c>
      <c r="L54" s="95">
        <f t="shared" si="36"/>
        <v>895206.40000000002</v>
      </c>
      <c r="M54" s="95">
        <f t="shared" si="36"/>
        <v>984781.6</v>
      </c>
      <c r="N54" s="95">
        <f t="shared" si="36"/>
        <v>1063598.2500000002</v>
      </c>
      <c r="O54" s="95">
        <f t="shared" si="36"/>
        <v>1151255.1088500002</v>
      </c>
      <c r="P54" s="95">
        <f t="shared" si="36"/>
        <v>1239089.9976840001</v>
      </c>
      <c r="Q54" s="95">
        <f t="shared" si="36"/>
        <v>1326123.1428845399</v>
      </c>
      <c r="R54" s="95">
        <f t="shared" si="36"/>
        <v>1418136.3957048291</v>
      </c>
      <c r="S54" s="58">
        <f>R54*(1+E6)</f>
        <v>1460680.4875759741</v>
      </c>
      <c r="T54" s="58">
        <f>S54*(1+E6)</f>
        <v>1504500.9022032532</v>
      </c>
      <c r="U54" s="58">
        <f>T54*(1+E6)</f>
        <v>1549635.9292693508</v>
      </c>
      <c r="V54" s="58">
        <f>U54*(1+E6)</f>
        <v>1596125.0071474314</v>
      </c>
      <c r="W54" s="58">
        <f>V54*(1+E6)</f>
        <v>1644008.7573618544</v>
      </c>
      <c r="X54" s="58">
        <f>W54*(1+E6)</f>
        <v>1693329.0200827101</v>
      </c>
      <c r="Y54" s="58">
        <f>X54*(1+E6)</f>
        <v>1744128.8906851914</v>
      </c>
      <c r="Z54" s="58">
        <f>Y54*(1+E6)</f>
        <v>1796452.7574057472</v>
      </c>
      <c r="AA54" s="58">
        <f>Z54*(1+E6)</f>
        <v>1850346.3401279196</v>
      </c>
      <c r="AB54" s="58">
        <f>AA54*(1+E6)</f>
        <v>1905856.7303317571</v>
      </c>
      <c r="AC54" s="58">
        <f>AB54*(1+E6)</f>
        <v>1963032.4322417099</v>
      </c>
      <c r="AD54" s="58">
        <f>AC54*(1+E6)</f>
        <v>2021923.4052089613</v>
      </c>
      <c r="AE54" s="58">
        <f>AD54*(1+E6)</f>
        <v>2082581.1073652303</v>
      </c>
      <c r="AF54" s="58">
        <f>AE54*(1+E6)</f>
        <v>2145058.5405861875</v>
      </c>
      <c r="AG54" s="58">
        <f>AF54*(1+E6)</f>
        <v>2209410.2968037734</v>
      </c>
      <c r="AH54" s="58">
        <f>AG54*(1+E6)</f>
        <v>2275692.6057078866</v>
      </c>
      <c r="AI54" s="58">
        <f>AH54*(1+E6)</f>
        <v>2343963.3838791233</v>
      </c>
      <c r="AJ54" s="58">
        <f>AI54*(1+E6)</f>
        <v>2414282.285395497</v>
      </c>
      <c r="AK54" s="58">
        <f>AJ54*(1+E6)</f>
        <v>2486710.7539573619</v>
      </c>
      <c r="AL54" s="58">
        <f>AK54*(1+E6)</f>
        <v>2561312.076576083</v>
      </c>
      <c r="AM54" s="58">
        <f>AL54*(1+E6)</f>
        <v>2638151.4388733655</v>
      </c>
      <c r="AN54" s="58">
        <f>AM54*(1+E6)</f>
        <v>2717295.9820395666</v>
      </c>
      <c r="AO54" s="58">
        <f>AN54*(1+E6)</f>
        <v>2798814.8615007536</v>
      </c>
      <c r="AP54" s="58">
        <f>AO54*(1+E6)</f>
        <v>2882779.3073457764</v>
      </c>
      <c r="AQ54" s="58">
        <f>AP54*(1+E6)</f>
        <v>2969262.6865661498</v>
      </c>
      <c r="AR54" s="58">
        <f>AQ54*(1+E6)</f>
        <v>3058340.5671631345</v>
      </c>
      <c r="AS54" s="58">
        <f>AR54*(1+E6)</f>
        <v>3150090.7841780283</v>
      </c>
      <c r="AT54" s="58">
        <f>AS54*(1+E6)</f>
        <v>3244593.5077033695</v>
      </c>
      <c r="AU54" s="58">
        <f>AT54*(1+E6)</f>
        <v>3341931.3129344708</v>
      </c>
      <c r="AV54" s="58">
        <f>AU54*(1+E6)</f>
        <v>3442189.2523225052</v>
      </c>
      <c r="AW54" s="58">
        <f>AV54*(1+E6)</f>
        <v>3545454.9298921805</v>
      </c>
      <c r="AX54" s="58">
        <f>AW54*(1+E6)</f>
        <v>3651818.5777889462</v>
      </c>
      <c r="AY54" s="58">
        <f>AX54*(1+E6)</f>
        <v>3761373.1351226149</v>
      </c>
      <c r="AZ54" s="58">
        <f>AY54*(1+E6)</f>
        <v>3874214.3291762937</v>
      </c>
      <c r="BA54" s="58">
        <f>AZ54*(1+E6)</f>
        <v>3990440.7590515828</v>
      </c>
      <c r="BB54" s="58">
        <f>BA54*(1+E6)</f>
        <v>4110153.9818231305</v>
      </c>
      <c r="BC54" s="58">
        <f>BB54*(1+E6)</f>
        <v>4233458.6012778245</v>
      </c>
      <c r="BD54" s="58">
        <f>BC54*(1+E6)</f>
        <v>4360462.359316159</v>
      </c>
      <c r="BE54" s="58">
        <f>BD54*(1+E6)</f>
        <v>4491276.2300956436</v>
      </c>
      <c r="BF54" s="58">
        <f>BE54*(1+E6)</f>
        <v>4626014.5169985127</v>
      </c>
      <c r="BG54" s="58">
        <f>BF54*(1+E6)</f>
        <v>4764794.9525084682</v>
      </c>
      <c r="BH54" s="58">
        <f>BG54*(1+E6)</f>
        <v>4907738.8010837222</v>
      </c>
      <c r="BI54" s="58">
        <f>BH54*(1+E6)</f>
        <v>5054970.9651162336</v>
      </c>
      <c r="BJ54" s="58">
        <f>BI54*(1+E6)</f>
        <v>5206620.0940697202</v>
      </c>
      <c r="BK54" s="58">
        <f>BJ54*(1+E6)</f>
        <v>5362818.6968918117</v>
      </c>
      <c r="BL54" s="58">
        <f>BK54*(1+E6)</f>
        <v>5523703.2577985665</v>
      </c>
      <c r="BM54" s="58">
        <f>BL54*(1+E6)</f>
        <v>5689414.3555325232</v>
      </c>
      <c r="BN54" s="58">
        <f>BM54*(1+E6)</f>
        <v>5860096.7861984987</v>
      </c>
      <c r="BO54" s="58">
        <f>BN54*(1+E6)</f>
        <v>6035899.6897844542</v>
      </c>
      <c r="BP54" s="58">
        <f>BO54*(1+E6)</f>
        <v>6216976.680477988</v>
      </c>
      <c r="BQ54" s="58">
        <f>BP54*(1+E6)</f>
        <v>6403485.9808923276</v>
      </c>
      <c r="BR54" s="58">
        <f>BQ54*(1+E6)</f>
        <v>6595590.5603190977</v>
      </c>
      <c r="BS54" s="58">
        <f>BR54*(1+E6)</f>
        <v>6793458.2771286704</v>
      </c>
      <c r="BT54" s="58">
        <f>BS54*(1+E6)</f>
        <v>6997262.0254425304</v>
      </c>
      <c r="BU54" s="58">
        <f>BT54*(1+E6)</f>
        <v>7207179.8862058064</v>
      </c>
      <c r="BV54" s="58">
        <f>BU54*(1+E6)</f>
        <v>7423395.2827919805</v>
      </c>
      <c r="BW54" s="58">
        <f>BV54*(1+E6)</f>
        <v>7646097.1412757402</v>
      </c>
      <c r="BX54" s="58">
        <f>BW54*(1+E6)</f>
        <v>7875480.0555140125</v>
      </c>
      <c r="BY54" s="58">
        <f>BX54*(1+E6)</f>
        <v>8111744.4571794327</v>
      </c>
      <c r="BZ54" s="58">
        <f>BY54*(1+E6)</f>
        <v>8355096.7908948157</v>
      </c>
      <c r="CA54" s="58">
        <f>BZ54*(1+E6)</f>
        <v>8605749.6946216598</v>
      </c>
      <c r="CB54" s="58">
        <f>CA54*(1+E6)</f>
        <v>8863922.1854603104</v>
      </c>
      <c r="CC54" s="58">
        <f>CB54*(1+E6)</f>
        <v>9129839.8510241192</v>
      </c>
      <c r="CD54" s="58">
        <f>CC54*(1+E6)</f>
        <v>9403735.046554843</v>
      </c>
      <c r="CE54" s="58">
        <f>CD54*(1+E6)</f>
        <v>9685847.0979514886</v>
      </c>
      <c r="CF54" s="58">
        <f>CE54*(1+E6)</f>
        <v>9976422.5108900331</v>
      </c>
      <c r="CG54" s="58">
        <f>CF54*(1+E6)</f>
        <v>10275715.186216734</v>
      </c>
      <c r="CH54" s="58">
        <f>CG54*(1+E6)</f>
        <v>10583986.641803237</v>
      </c>
    </row>
    <row r="55" spans="1:86" s="50" customFormat="1" x14ac:dyDescent="0.25">
      <c r="A55" s="1"/>
      <c r="B55" s="6"/>
      <c r="C55" s="10"/>
      <c r="D55" s="10"/>
      <c r="E55" s="10"/>
      <c r="F55" s="10"/>
      <c r="G55" s="10"/>
      <c r="H55" s="10"/>
      <c r="I55" s="88"/>
      <c r="J55" s="89"/>
      <c r="K55" s="89"/>
      <c r="L55" s="89"/>
      <c r="M55" s="89"/>
      <c r="N55" s="89"/>
      <c r="O55" s="89"/>
      <c r="P55" s="89"/>
      <c r="Q55" s="89"/>
      <c r="R55" s="89"/>
    </row>
    <row r="56" spans="1:86" s="50" customFormat="1" x14ac:dyDescent="0.25">
      <c r="A56" s="1"/>
      <c r="B56" s="9" t="s">
        <v>28</v>
      </c>
      <c r="C56" s="10">
        <f t="shared" ref="C56:I56" si="37">C53+C44+C47-C50</f>
        <v>366534</v>
      </c>
      <c r="D56" s="10">
        <f t="shared" si="37"/>
        <v>796041</v>
      </c>
      <c r="E56" s="10">
        <f t="shared" si="37"/>
        <v>575034</v>
      </c>
      <c r="F56" s="10">
        <f t="shared" si="37"/>
        <v>1123665</v>
      </c>
      <c r="G56" s="10">
        <f t="shared" si="37"/>
        <v>1750088</v>
      </c>
      <c r="H56" s="10">
        <f t="shared" si="37"/>
        <v>244601</v>
      </c>
      <c r="I56" s="94">
        <f t="shared" si="37"/>
        <v>301339.47450000001</v>
      </c>
      <c r="J56" s="95">
        <f t="shared" ref="J56:R56" si="38">J53+J44+J47-J50</f>
        <v>538307.66480000003</v>
      </c>
      <c r="K56" s="95">
        <f t="shared" si="38"/>
        <v>620017.80000000016</v>
      </c>
      <c r="L56" s="95">
        <f t="shared" si="38"/>
        <v>916986.39999999991</v>
      </c>
      <c r="M56" s="95">
        <f t="shared" si="38"/>
        <v>1010636.6000000001</v>
      </c>
      <c r="N56" s="95">
        <f t="shared" si="38"/>
        <v>1090875.2750000004</v>
      </c>
      <c r="O56" s="95">
        <f t="shared" si="38"/>
        <v>1171305.3838500001</v>
      </c>
      <c r="P56" s="95">
        <f t="shared" si="38"/>
        <v>1251065.3567527502</v>
      </c>
      <c r="Q56" s="95">
        <f t="shared" si="38"/>
        <v>1329241.2508775401</v>
      </c>
      <c r="R56" s="95">
        <f t="shared" si="38"/>
        <v>1411669.511961509</v>
      </c>
    </row>
    <row r="57" spans="1:86" s="50" customFormat="1" x14ac:dyDescent="0.25">
      <c r="A57" s="1"/>
      <c r="B57" s="21" t="s">
        <v>29</v>
      </c>
      <c r="C57" s="1"/>
      <c r="D57" s="1"/>
      <c r="E57" s="1"/>
      <c r="F57" s="1"/>
      <c r="G57" s="1"/>
      <c r="H57" s="1"/>
      <c r="I57" s="59">
        <f>I56/((1+E5)^I9)</f>
        <v>269194.67408287094</v>
      </c>
      <c r="J57" s="17">
        <f>J56/((1+E5)^J9)</f>
        <v>429587.30329706677</v>
      </c>
      <c r="K57" s="17">
        <f>K56/((1+E5)^K9)</f>
        <v>442013.43291633186</v>
      </c>
      <c r="L57" s="17">
        <f>L56/((1+E5)^L9)</f>
        <v>583988.96584133385</v>
      </c>
      <c r="M57" s="17">
        <f>M56/((1+E5)^M9)</f>
        <v>574972.67476446717</v>
      </c>
      <c r="N57" s="17">
        <f>N56/((1+E5)^N9)</f>
        <v>554418.50659596396</v>
      </c>
      <c r="O57" s="17">
        <f>O56/((1+E5)^O9)</f>
        <v>531793.71023742633</v>
      </c>
      <c r="P57" s="17">
        <f>P56/((1+E5)^P9)</f>
        <v>507415.22236908373</v>
      </c>
      <c r="Q57" s="17">
        <f>Q56/((1+E5)^Q9)</f>
        <v>481612.48946757021</v>
      </c>
      <c r="R57" s="17">
        <f>R56/((1+E5)^R9)</f>
        <v>456917.09012505662</v>
      </c>
    </row>
    <row r="58" spans="1:86" s="50" customFormat="1" x14ac:dyDescent="0.25">
      <c r="A58" s="1"/>
      <c r="B58" s="22"/>
      <c r="C58" s="22"/>
      <c r="D58" s="22"/>
      <c r="E58" s="22"/>
      <c r="F58" s="22"/>
      <c r="G58" s="22"/>
      <c r="H58" s="22"/>
      <c r="I58" s="23"/>
      <c r="J58" s="22"/>
      <c r="K58" s="22"/>
      <c r="L58" s="22"/>
      <c r="M58" s="22"/>
      <c r="N58" s="22"/>
      <c r="O58" s="22"/>
      <c r="P58" s="22"/>
      <c r="Q58" s="22"/>
      <c r="R58" s="22"/>
    </row>
    <row r="59" spans="1:86" s="50" customFormat="1" x14ac:dyDescent="0.25">
      <c r="A59" s="1"/>
      <c r="B59" s="1" t="s">
        <v>30</v>
      </c>
      <c r="C59" s="24">
        <f>(R56*(1+E6))/(E5-E6)</f>
        <v>16262203.620157979</v>
      </c>
      <c r="D59" s="1"/>
      <c r="E59" s="1" t="s">
        <v>31</v>
      </c>
      <c r="F59" s="17">
        <f>NPV(E5,I54:CH54)</f>
        <v>10016803.41236441</v>
      </c>
      <c r="G59" s="1"/>
      <c r="H59" s="1"/>
      <c r="I59" s="14"/>
      <c r="J59" s="1"/>
      <c r="K59" s="1"/>
      <c r="L59" s="1"/>
      <c r="M59" s="1"/>
      <c r="N59" s="1"/>
      <c r="O59" s="1"/>
      <c r="P59" s="1"/>
      <c r="Q59" s="1"/>
      <c r="R59" s="2"/>
    </row>
    <row r="60" spans="1:86" s="50" customFormat="1" x14ac:dyDescent="0.25">
      <c r="A60" s="1"/>
      <c r="B60" s="3" t="s">
        <v>32</v>
      </c>
      <c r="C60" s="25">
        <f>C59/((1+E5)^R9)</f>
        <v>5263610.7064599888</v>
      </c>
      <c r="D60" s="15"/>
      <c r="E60" s="3"/>
      <c r="F60" s="3"/>
      <c r="G60" s="3"/>
      <c r="H60" s="15"/>
      <c r="I60" s="11"/>
      <c r="J60" s="1"/>
      <c r="K60" s="2"/>
      <c r="L60" s="52" t="s">
        <v>54</v>
      </c>
      <c r="M60" s="53"/>
      <c r="N60" s="53"/>
      <c r="O60" s="53"/>
      <c r="P60" s="53"/>
      <c r="Q60" s="52"/>
      <c r="R60" s="2"/>
    </row>
    <row r="61" spans="1:86" s="50" customFormat="1" x14ac:dyDescent="0.25">
      <c r="A61" s="1"/>
      <c r="B61" s="6" t="s">
        <v>33</v>
      </c>
      <c r="C61" s="6"/>
      <c r="D61" s="1"/>
      <c r="E61" s="6"/>
      <c r="F61" s="6"/>
      <c r="G61" s="26" t="s">
        <v>34</v>
      </c>
      <c r="H61" s="26" t="s">
        <v>31</v>
      </c>
      <c r="I61" s="14"/>
      <c r="J61" s="2"/>
      <c r="K61" s="52"/>
      <c r="L61" s="63">
        <f>D67</f>
        <v>105.98184823226435</v>
      </c>
      <c r="M61" s="54">
        <f>N61-2.5%</f>
        <v>0</v>
      </c>
      <c r="N61" s="54">
        <f>O61-2.5%</f>
        <v>2.5000000000000001E-2</v>
      </c>
      <c r="O61" s="54">
        <v>0.05</v>
      </c>
      <c r="P61" s="54">
        <f>O61+2.5%</f>
        <v>7.5000000000000011E-2</v>
      </c>
      <c r="Q61" s="54">
        <f>P61+2.5%</f>
        <v>0.1</v>
      </c>
      <c r="R61" s="2"/>
    </row>
    <row r="62" spans="1:86" s="50" customFormat="1" x14ac:dyDescent="0.25">
      <c r="A62" s="1"/>
      <c r="B62" s="27" t="s">
        <v>35</v>
      </c>
      <c r="C62" s="1"/>
      <c r="D62" s="20">
        <v>918758</v>
      </c>
      <c r="E62" s="1"/>
      <c r="F62" s="1"/>
      <c r="G62" s="24">
        <f>C60+SUM(I57:R57)</f>
        <v>10095524.776157159</v>
      </c>
      <c r="H62" s="17">
        <f>F59</f>
        <v>10016803.41236441</v>
      </c>
      <c r="I62" s="14"/>
      <c r="J62" s="2"/>
      <c r="K62" s="52"/>
      <c r="L62" s="55">
        <f>L63-2%</f>
        <v>8.7380727818062193E-2</v>
      </c>
      <c r="M62" s="60">
        <f t="dataTable" ref="M62:Q66" dt2D="1" dtr="1" r1="E6" r2="E5"/>
        <v>132.16465221907885</v>
      </c>
      <c r="N62" s="60">
        <v>161.94084804563266</v>
      </c>
      <c r="O62" s="60">
        <v>226.30647196117064</v>
      </c>
      <c r="P62" s="60">
        <v>471.89897519868504</v>
      </c>
      <c r="Q62" s="60">
        <v>114.64767917915387</v>
      </c>
      <c r="R62" s="2"/>
    </row>
    <row r="63" spans="1:86" s="50" customFormat="1" x14ac:dyDescent="0.25">
      <c r="A63" s="1"/>
      <c r="B63" s="28" t="s">
        <v>36</v>
      </c>
      <c r="C63" s="3"/>
      <c r="D63" s="29">
        <f>613590-225111</f>
        <v>388479</v>
      </c>
      <c r="E63" s="3"/>
      <c r="F63" s="3"/>
      <c r="G63" s="3"/>
      <c r="H63" s="3"/>
      <c r="I63" s="14"/>
      <c r="J63" s="2"/>
      <c r="K63" s="53"/>
      <c r="L63" s="55">
        <f>L64-2%</f>
        <v>0.1073807278180622</v>
      </c>
      <c r="M63" s="60">
        <v>103.89892951056316</v>
      </c>
      <c r="N63" s="61">
        <v>119.74149875660251</v>
      </c>
      <c r="O63" s="61">
        <v>148.56524072564855</v>
      </c>
      <c r="P63" s="61">
        <v>214.63336496968861</v>
      </c>
      <c r="Q63" s="60">
        <v>575.5082406940237</v>
      </c>
      <c r="R63" s="2"/>
    </row>
    <row r="64" spans="1:86" s="50" customFormat="1" x14ac:dyDescent="0.25">
      <c r="A64" s="1"/>
      <c r="B64" s="6" t="s">
        <v>37</v>
      </c>
      <c r="C64" s="6"/>
      <c r="D64" s="6"/>
      <c r="E64" s="6"/>
      <c r="F64" s="6"/>
      <c r="G64" s="30">
        <f>(G62+D62-D63)</f>
        <v>10625803.776157159</v>
      </c>
      <c r="H64" s="31">
        <f>(H62+D62-D63)</f>
        <v>10547082.41236441</v>
      </c>
      <c r="I64" s="14"/>
      <c r="J64" s="2"/>
      <c r="K64" s="52" t="s">
        <v>1</v>
      </c>
      <c r="L64" s="57">
        <v>0.1273807278180622</v>
      </c>
      <c r="M64" s="60">
        <v>84.872091543632337</v>
      </c>
      <c r="N64" s="61">
        <v>94.073627587609224</v>
      </c>
      <c r="O64" s="62">
        <v>109.06960321843414</v>
      </c>
      <c r="P64" s="61">
        <v>137.26851186800118</v>
      </c>
      <c r="Q64" s="60">
        <v>206.76774958595701</v>
      </c>
      <c r="R64" s="2"/>
    </row>
    <row r="65" spans="1:18" s="50" customFormat="1" x14ac:dyDescent="0.25">
      <c r="A65" s="1"/>
      <c r="B65" s="3" t="s">
        <v>38</v>
      </c>
      <c r="C65" s="3"/>
      <c r="D65" s="36">
        <f>99889210/1000</f>
        <v>99889.21</v>
      </c>
      <c r="E65" s="3"/>
      <c r="F65" s="3"/>
      <c r="G65" s="3"/>
      <c r="H65" s="3"/>
      <c r="I65" s="14"/>
      <c r="J65" s="2"/>
      <c r="K65" s="52"/>
      <c r="L65" s="56">
        <f>L64+2%</f>
        <v>0.14738072781806219</v>
      </c>
      <c r="M65" s="60">
        <v>71.306156146499148</v>
      </c>
      <c r="N65" s="61">
        <v>76.996938680624496</v>
      </c>
      <c r="O65" s="61">
        <v>85.579167494217913</v>
      </c>
      <c r="P65" s="61">
        <v>99.885865076478893</v>
      </c>
      <c r="Q65" s="60">
        <v>127.79565510649607</v>
      </c>
      <c r="R65" s="2"/>
    </row>
    <row r="66" spans="1:18" s="50" customFormat="1" x14ac:dyDescent="0.25">
      <c r="A66" s="1"/>
      <c r="B66" s="16" t="s">
        <v>39</v>
      </c>
      <c r="C66" s="16"/>
      <c r="D66" s="64">
        <f>D65*J5</f>
        <v>10643195.3255</v>
      </c>
      <c r="E66" s="16"/>
      <c r="F66" s="16"/>
      <c r="G66" s="16"/>
      <c r="H66" s="32"/>
      <c r="I66" s="1"/>
      <c r="J66" s="2"/>
      <c r="K66" s="52"/>
      <c r="L66" s="56">
        <f>L65+2%</f>
        <v>0.16738072781806218</v>
      </c>
      <c r="M66" s="60">
        <v>61.214736601915277</v>
      </c>
      <c r="N66" s="60">
        <v>64.903857231144315</v>
      </c>
      <c r="O66" s="60">
        <v>70.157842895015449</v>
      </c>
      <c r="P66" s="60">
        <v>78.213952125609225</v>
      </c>
      <c r="Q66" s="60">
        <v>91.975105618884101</v>
      </c>
      <c r="R66" s="2"/>
    </row>
    <row r="67" spans="1:18" s="50" customFormat="1" x14ac:dyDescent="0.25">
      <c r="A67" s="1"/>
      <c r="B67" s="6" t="s">
        <v>40</v>
      </c>
      <c r="C67" s="6" t="s">
        <v>41</v>
      </c>
      <c r="D67" s="33">
        <f>(G67+H67)/2</f>
        <v>105.98184823226435</v>
      </c>
      <c r="E67" s="2"/>
      <c r="F67" s="6"/>
      <c r="G67" s="33">
        <f>G64/D65</f>
        <v>106.37589161188839</v>
      </c>
      <c r="H67" s="33">
        <f>H64/D65</f>
        <v>105.58780485264033</v>
      </c>
      <c r="I67" s="14"/>
      <c r="J67" s="2"/>
      <c r="K67" s="2"/>
      <c r="L67" s="2"/>
      <c r="M67" s="2"/>
      <c r="N67" s="2"/>
      <c r="O67" s="2"/>
      <c r="P67" s="2"/>
      <c r="Q67" s="2"/>
      <c r="R67" s="2"/>
    </row>
  </sheetData>
  <sortState xmlns:xlrd2="http://schemas.microsoft.com/office/spreadsheetml/2017/richdata2" columnSort="1" ref="C10:H57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14" sqref="H14"/>
    </sheetView>
  </sheetViews>
  <sheetFormatPr defaultRowHeight="15" x14ac:dyDescent="0.25"/>
  <cols>
    <col min="3" max="3" width="11.7109375" customWidth="1"/>
    <col min="11" max="11" width="10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44</v>
      </c>
      <c r="C6" s="2"/>
      <c r="D6" s="41">
        <v>0.14000000000000001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45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46</v>
      </c>
      <c r="C8" s="2"/>
      <c r="D8" s="42">
        <v>1.42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47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37</v>
      </c>
      <c r="B12" s="2"/>
      <c r="C12" s="20">
        <f>'QRVO DCF'!D66</f>
        <v>10643195.3255</v>
      </c>
      <c r="D12" s="2"/>
      <c r="E12" s="2" t="s">
        <v>36</v>
      </c>
      <c r="F12" s="2"/>
      <c r="G12" s="20">
        <f>'QRVO DCF'!D63</f>
        <v>388479</v>
      </c>
      <c r="H12" s="2"/>
      <c r="I12" s="2" t="s">
        <v>48</v>
      </c>
      <c r="J12" s="2"/>
      <c r="K12" s="20">
        <f>G12+C12</f>
        <v>11031674.3255</v>
      </c>
      <c r="L12" s="2"/>
    </row>
    <row r="13" spans="1:14" x14ac:dyDescent="0.25">
      <c r="A13" s="2" t="s">
        <v>49</v>
      </c>
      <c r="B13" s="2"/>
      <c r="C13" s="43">
        <f>C12/K12</f>
        <v>0.96478512793819338</v>
      </c>
      <c r="D13" s="2"/>
      <c r="E13" s="2" t="s">
        <v>50</v>
      </c>
      <c r="F13" s="2"/>
      <c r="G13" s="44">
        <f>G12/K12</f>
        <v>3.5214872061806679E-2</v>
      </c>
      <c r="H13" s="2"/>
      <c r="I13" s="2"/>
      <c r="J13" s="2"/>
      <c r="K13" s="2"/>
      <c r="L13" s="2"/>
      <c r="M13" s="34"/>
    </row>
    <row r="14" spans="1:14" x14ac:dyDescent="0.25">
      <c r="A14" s="2" t="s">
        <v>51</v>
      </c>
      <c r="B14" s="2"/>
      <c r="C14" s="45">
        <f>D7+D8*(D9)</f>
        <v>0.1222</v>
      </c>
      <c r="D14" s="2"/>
      <c r="E14" s="2" t="s">
        <v>52</v>
      </c>
      <c r="F14" s="2"/>
      <c r="G14" s="46">
        <v>0.05</v>
      </c>
      <c r="H14" s="2"/>
      <c r="I14" s="47" t="s">
        <v>1</v>
      </c>
      <c r="J14" s="48"/>
      <c r="K14" s="49">
        <f>C13*C14+G14*G13*(1-D6)</f>
        <v>0.11941098213270492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AD78-4B92-47AA-9CDB-7744175AC6C6}">
  <dimension ref="A1:U33"/>
  <sheetViews>
    <sheetView topLeftCell="A7" workbookViewId="0">
      <selection activeCell="H22" sqref="H22"/>
    </sheetView>
  </sheetViews>
  <sheetFormatPr defaultRowHeight="15" x14ac:dyDescent="0.25"/>
  <cols>
    <col min="4" max="6" width="12.7109375" customWidth="1"/>
    <col min="11" max="13" width="12.7109375" customWidth="1"/>
  </cols>
  <sheetData>
    <row r="1" spans="1:21" x14ac:dyDescent="0.25">
      <c r="A1" s="72" t="s">
        <v>55</v>
      </c>
      <c r="B1" s="72"/>
      <c r="C1" s="72"/>
      <c r="D1" s="72"/>
      <c r="E1" s="72"/>
      <c r="F1" s="72"/>
      <c r="J1" s="72" t="s">
        <v>118</v>
      </c>
      <c r="K1" s="72"/>
      <c r="L1" s="72"/>
      <c r="M1" s="72"/>
      <c r="N1" s="72"/>
      <c r="O1" s="72"/>
    </row>
    <row r="3" spans="1:21" x14ac:dyDescent="0.25"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x14ac:dyDescent="0.25">
      <c r="A4" s="73"/>
      <c r="B4" s="73"/>
      <c r="C4" s="73"/>
      <c r="D4" s="72" t="s">
        <v>56</v>
      </c>
      <c r="E4" s="72"/>
      <c r="F4" s="72"/>
      <c r="G4" s="72"/>
      <c r="H4" s="72"/>
      <c r="I4" s="72"/>
    </row>
    <row r="5" spans="1:21" x14ac:dyDescent="0.25">
      <c r="D5" s="67">
        <v>2020</v>
      </c>
      <c r="E5" s="67">
        <v>2021</v>
      </c>
      <c r="F5" s="67">
        <v>2022</v>
      </c>
      <c r="G5" s="67"/>
      <c r="H5" s="67"/>
      <c r="K5" s="72" t="s">
        <v>56</v>
      </c>
      <c r="L5" s="72"/>
      <c r="M5" s="72"/>
      <c r="N5" s="72"/>
      <c r="O5" s="72"/>
      <c r="P5" s="72"/>
      <c r="Q5" s="72"/>
      <c r="R5" s="72"/>
      <c r="S5" s="72"/>
      <c r="T5" s="72"/>
      <c r="U5" s="72"/>
    </row>
    <row r="6" spans="1:21" x14ac:dyDescent="0.25">
      <c r="K6" s="67">
        <v>2017</v>
      </c>
      <c r="L6" s="67">
        <v>2018</v>
      </c>
      <c r="M6" s="67">
        <v>2019</v>
      </c>
      <c r="N6" s="67"/>
      <c r="O6" s="67"/>
      <c r="Q6" s="67"/>
      <c r="R6" s="67"/>
      <c r="T6" s="67"/>
      <c r="U6" s="67"/>
    </row>
    <row r="7" spans="1:21" x14ac:dyDescent="0.25">
      <c r="A7" s="67" t="s">
        <v>7</v>
      </c>
      <c r="B7" s="67"/>
      <c r="C7" s="67"/>
      <c r="D7" s="68">
        <v>4015307</v>
      </c>
      <c r="E7" s="68">
        <v>4645714</v>
      </c>
      <c r="F7" s="68">
        <v>3569399</v>
      </c>
      <c r="G7" s="68"/>
    </row>
    <row r="8" spans="1:21" x14ac:dyDescent="0.25">
      <c r="A8" s="67" t="s">
        <v>57</v>
      </c>
      <c r="B8" s="67"/>
      <c r="C8" s="67"/>
      <c r="D8" s="69">
        <v>2131741</v>
      </c>
      <c r="E8" s="69">
        <v>2359546</v>
      </c>
      <c r="F8" s="69">
        <v>2272457</v>
      </c>
      <c r="G8" s="69"/>
      <c r="J8" t="s">
        <v>7</v>
      </c>
      <c r="K8" s="74">
        <v>2973536</v>
      </c>
      <c r="L8" s="74">
        <v>3090325</v>
      </c>
      <c r="M8" s="74">
        <v>3239141</v>
      </c>
      <c r="N8" s="74"/>
      <c r="Q8" s="74"/>
      <c r="T8" s="74"/>
    </row>
    <row r="9" spans="1:21" x14ac:dyDescent="0.25">
      <c r="A9" s="67" t="s">
        <v>58</v>
      </c>
      <c r="B9" s="67"/>
      <c r="C9" s="67"/>
      <c r="D9" s="69">
        <v>1883566</v>
      </c>
      <c r="E9" s="69">
        <v>2286168</v>
      </c>
      <c r="F9" s="69">
        <v>1296942</v>
      </c>
      <c r="G9" s="69"/>
      <c r="J9" t="s">
        <v>57</v>
      </c>
      <c r="K9" s="34">
        <v>1826570</v>
      </c>
      <c r="L9" s="34">
        <v>1895142</v>
      </c>
      <c r="M9" s="34">
        <v>1917378</v>
      </c>
      <c r="N9" s="34"/>
      <c r="Q9" s="34"/>
      <c r="T9" s="34"/>
    </row>
    <row r="10" spans="1:21" x14ac:dyDescent="0.25">
      <c r="J10" t="s">
        <v>58</v>
      </c>
      <c r="K10" s="34">
        <v>1146966</v>
      </c>
      <c r="L10" s="34">
        <v>1195183</v>
      </c>
      <c r="M10" s="34">
        <v>1321763</v>
      </c>
      <c r="N10" s="34"/>
      <c r="Q10" s="34"/>
      <c r="T10" s="34"/>
    </row>
    <row r="11" spans="1:21" x14ac:dyDescent="0.25">
      <c r="A11" s="67" t="s">
        <v>59</v>
      </c>
      <c r="B11" s="67"/>
      <c r="C11" s="67"/>
    </row>
    <row r="12" spans="1:21" x14ac:dyDescent="0.25">
      <c r="A12" s="67" t="s">
        <v>60</v>
      </c>
      <c r="B12" s="67"/>
      <c r="C12" s="67"/>
      <c r="D12" s="69">
        <v>570395</v>
      </c>
      <c r="E12" s="69">
        <v>623636</v>
      </c>
      <c r="F12" s="69">
        <v>649841</v>
      </c>
      <c r="G12" s="69"/>
      <c r="J12" t="s">
        <v>59</v>
      </c>
    </row>
    <row r="13" spans="1:21" x14ac:dyDescent="0.25">
      <c r="A13" s="67" t="s">
        <v>61</v>
      </c>
      <c r="B13" s="67"/>
      <c r="C13" s="67"/>
      <c r="D13" s="69">
        <v>367238</v>
      </c>
      <c r="E13" s="69">
        <v>349718</v>
      </c>
      <c r="F13" s="69">
        <v>358790</v>
      </c>
      <c r="G13" s="69"/>
      <c r="J13" t="s">
        <v>60</v>
      </c>
      <c r="K13" s="34">
        <v>445103</v>
      </c>
      <c r="L13" s="34">
        <v>450482</v>
      </c>
      <c r="M13" s="34">
        <v>484414</v>
      </c>
      <c r="N13" s="34"/>
      <c r="Q13" s="34"/>
      <c r="T13" s="34"/>
    </row>
    <row r="14" spans="1:21" x14ac:dyDescent="0.25">
      <c r="A14" s="67" t="s">
        <v>62</v>
      </c>
      <c r="B14" s="67"/>
      <c r="C14" s="67"/>
      <c r="D14" s="69">
        <v>39306</v>
      </c>
      <c r="E14" s="69">
        <v>86745</v>
      </c>
      <c r="F14" s="69">
        <v>105143</v>
      </c>
      <c r="G14" s="69"/>
      <c r="J14" t="s">
        <v>61</v>
      </c>
      <c r="K14" s="34">
        <v>527751</v>
      </c>
      <c r="L14" s="34">
        <v>476074</v>
      </c>
      <c r="M14" s="34">
        <v>343569</v>
      </c>
      <c r="N14" s="34"/>
      <c r="Q14" s="34"/>
      <c r="T14" s="34"/>
    </row>
    <row r="15" spans="1:21" x14ac:dyDescent="0.25">
      <c r="A15" s="67" t="s">
        <v>63</v>
      </c>
      <c r="B15" s="67"/>
      <c r="C15" s="67"/>
      <c r="D15" s="69">
        <v>976939</v>
      </c>
      <c r="E15" s="69">
        <v>1060099</v>
      </c>
      <c r="F15" s="69">
        <v>1113774</v>
      </c>
      <c r="G15" s="69"/>
      <c r="J15" t="s">
        <v>62</v>
      </c>
      <c r="K15" s="34">
        <v>103830</v>
      </c>
      <c r="L15" s="34">
        <v>52161</v>
      </c>
      <c r="M15" s="34">
        <v>70564</v>
      </c>
      <c r="N15" s="34"/>
      <c r="Q15" s="34"/>
      <c r="T15" s="34"/>
    </row>
    <row r="16" spans="1:21" x14ac:dyDescent="0.25">
      <c r="A16" s="67" t="s">
        <v>15</v>
      </c>
      <c r="B16" s="67"/>
      <c r="C16" s="67"/>
      <c r="D16" s="69">
        <v>906627</v>
      </c>
      <c r="E16" s="69">
        <v>1226069</v>
      </c>
      <c r="F16" s="69">
        <v>183168</v>
      </c>
      <c r="G16" s="69"/>
      <c r="J16" s="67" t="s">
        <v>63</v>
      </c>
      <c r="K16" s="34">
        <v>1076684</v>
      </c>
      <c r="L16" s="34">
        <v>978717</v>
      </c>
      <c r="M16" s="34">
        <v>898547</v>
      </c>
      <c r="N16" s="34"/>
      <c r="Q16" s="34"/>
      <c r="T16" s="34"/>
    </row>
    <row r="17" spans="1:20" x14ac:dyDescent="0.25">
      <c r="J17" t="s">
        <v>15</v>
      </c>
      <c r="K17" s="34">
        <v>70282</v>
      </c>
      <c r="L17" s="34">
        <v>216466</v>
      </c>
      <c r="M17" s="34">
        <v>423216</v>
      </c>
      <c r="N17" s="34"/>
      <c r="Q17" s="34"/>
      <c r="T17" s="34"/>
    </row>
    <row r="18" spans="1:20" x14ac:dyDescent="0.25">
      <c r="A18" s="67" t="s">
        <v>64</v>
      </c>
      <c r="B18" s="67"/>
      <c r="C18" s="67"/>
      <c r="D18" s="70">
        <v>-75198</v>
      </c>
      <c r="E18" s="70">
        <v>-63326</v>
      </c>
      <c r="F18" s="70">
        <v>-68463</v>
      </c>
      <c r="G18" s="70"/>
    </row>
    <row r="19" spans="1:20" x14ac:dyDescent="0.25">
      <c r="A19" s="67" t="s">
        <v>65</v>
      </c>
      <c r="B19" s="67"/>
      <c r="C19" s="67"/>
      <c r="D19" s="70">
        <v>-24049</v>
      </c>
      <c r="E19" s="69">
        <v>18341</v>
      </c>
      <c r="F19" s="69">
        <v>9924</v>
      </c>
      <c r="G19" s="69"/>
      <c r="J19" t="s">
        <v>64</v>
      </c>
      <c r="K19" s="75">
        <v>-59548</v>
      </c>
      <c r="L19" s="75">
        <v>-43963</v>
      </c>
      <c r="M19" s="75">
        <v>-60392</v>
      </c>
      <c r="N19" s="75"/>
      <c r="Q19" s="75"/>
      <c r="T19" s="75"/>
    </row>
    <row r="20" spans="1:20" x14ac:dyDescent="0.25">
      <c r="A20" s="67" t="s">
        <v>66</v>
      </c>
      <c r="B20" s="67"/>
      <c r="C20" s="67"/>
      <c r="D20" s="69">
        <v>807380</v>
      </c>
      <c r="E20" s="69">
        <v>1181084</v>
      </c>
      <c r="F20" s="69">
        <v>124629</v>
      </c>
      <c r="G20" s="69"/>
      <c r="J20" t="s">
        <v>119</v>
      </c>
      <c r="K20" s="34">
        <v>7017</v>
      </c>
      <c r="L20" s="34">
        <v>10971</v>
      </c>
      <c r="M20" s="34">
        <v>12066</v>
      </c>
      <c r="N20" s="34"/>
      <c r="Q20" s="34"/>
      <c r="T20" s="34"/>
    </row>
    <row r="21" spans="1:20" x14ac:dyDescent="0.25">
      <c r="J21" t="s">
        <v>120</v>
      </c>
      <c r="K21" s="75">
        <v>-606</v>
      </c>
      <c r="L21" s="75">
        <v>-91682</v>
      </c>
      <c r="M21" s="34">
        <v>20199</v>
      </c>
      <c r="N21" s="34"/>
      <c r="Q21" s="75"/>
      <c r="T21" s="75"/>
    </row>
    <row r="22" spans="1:20" x14ac:dyDescent="0.25">
      <c r="A22" s="67" t="s">
        <v>67</v>
      </c>
      <c r="B22" s="67"/>
      <c r="C22" s="67"/>
      <c r="D22" s="70">
        <v>-73769</v>
      </c>
      <c r="E22" s="70">
        <v>-147731</v>
      </c>
      <c r="F22" s="70">
        <v>-21477</v>
      </c>
      <c r="G22" s="70"/>
      <c r="J22" t="s">
        <v>66</v>
      </c>
      <c r="K22" s="34">
        <v>17145</v>
      </c>
      <c r="L22" s="34">
        <v>91792</v>
      </c>
      <c r="M22" s="34">
        <v>395089</v>
      </c>
      <c r="N22" s="34"/>
      <c r="Q22" s="34"/>
      <c r="T22" s="34"/>
    </row>
    <row r="23" spans="1:20" x14ac:dyDescent="0.25">
      <c r="A23" s="67" t="s">
        <v>27</v>
      </c>
      <c r="B23" s="67"/>
      <c r="C23" s="67"/>
      <c r="D23" s="68">
        <v>733611</v>
      </c>
      <c r="E23" s="68">
        <v>1033353</v>
      </c>
      <c r="F23" s="68">
        <v>103152</v>
      </c>
      <c r="G23" s="68"/>
    </row>
    <row r="24" spans="1:20" x14ac:dyDescent="0.25">
      <c r="J24" t="s">
        <v>121</v>
      </c>
      <c r="K24" s="75">
        <v>-57433</v>
      </c>
      <c r="L24" s="34">
        <v>41333</v>
      </c>
      <c r="M24" s="75">
        <v>-60764</v>
      </c>
      <c r="N24" s="75"/>
      <c r="Q24" s="34"/>
      <c r="T24" s="75"/>
    </row>
    <row r="25" spans="1:20" x14ac:dyDescent="0.25">
      <c r="A25" s="67" t="s">
        <v>68</v>
      </c>
      <c r="B25" s="67"/>
      <c r="C25" s="67"/>
      <c r="J25" t="s">
        <v>122</v>
      </c>
      <c r="K25" s="76">
        <v>-40288</v>
      </c>
      <c r="L25" s="74">
        <v>133125</v>
      </c>
      <c r="M25" s="74">
        <v>334325</v>
      </c>
      <c r="N25" s="74"/>
      <c r="Q25" s="74"/>
      <c r="T25" s="76"/>
    </row>
    <row r="26" spans="1:20" x14ac:dyDescent="0.25">
      <c r="A26" s="67" t="s">
        <v>69</v>
      </c>
      <c r="B26" s="67"/>
      <c r="C26" s="67"/>
      <c r="D26" s="71">
        <v>6.43</v>
      </c>
      <c r="E26" s="71">
        <v>9.3800000000000008</v>
      </c>
      <c r="F26" s="71">
        <v>1.01</v>
      </c>
      <c r="G26" s="71"/>
    </row>
    <row r="27" spans="1:20" x14ac:dyDescent="0.25">
      <c r="A27" s="67" t="s">
        <v>70</v>
      </c>
      <c r="B27" s="67"/>
      <c r="C27" s="67"/>
      <c r="D27" s="71">
        <v>6.32</v>
      </c>
      <c r="E27" s="71">
        <v>9.26</v>
      </c>
      <c r="F27" s="71">
        <v>1</v>
      </c>
      <c r="G27" s="71"/>
      <c r="J27" t="s">
        <v>123</v>
      </c>
    </row>
    <row r="28" spans="1:20" x14ac:dyDescent="0.25">
      <c r="J28" t="s">
        <v>69</v>
      </c>
      <c r="K28" s="77">
        <v>-0.32</v>
      </c>
      <c r="L28" s="78">
        <v>1.07</v>
      </c>
      <c r="M28" s="78">
        <v>2.86</v>
      </c>
      <c r="N28" s="78"/>
      <c r="Q28" s="78"/>
      <c r="T28" s="77"/>
    </row>
    <row r="29" spans="1:20" x14ac:dyDescent="0.25">
      <c r="A29" s="67" t="s">
        <v>71</v>
      </c>
      <c r="B29" s="67"/>
      <c r="C29" s="67"/>
      <c r="J29" t="s">
        <v>70</v>
      </c>
      <c r="K29" s="77">
        <v>-0.32</v>
      </c>
      <c r="L29" s="78">
        <v>1.05</v>
      </c>
      <c r="M29" s="78">
        <v>2.8</v>
      </c>
      <c r="N29" s="78"/>
      <c r="Q29" s="78"/>
      <c r="T29" s="77"/>
    </row>
    <row r="30" spans="1:20" x14ac:dyDescent="0.25">
      <c r="A30" s="67" t="s">
        <v>69</v>
      </c>
      <c r="B30" s="67"/>
      <c r="C30" s="67"/>
      <c r="D30" s="69">
        <v>114034</v>
      </c>
      <c r="E30" s="69">
        <v>110196</v>
      </c>
      <c r="F30" s="69">
        <v>102206</v>
      </c>
      <c r="G30" s="69"/>
    </row>
    <row r="31" spans="1:20" x14ac:dyDescent="0.25">
      <c r="A31" s="67" t="s">
        <v>70</v>
      </c>
      <c r="B31" s="67"/>
      <c r="C31" s="67"/>
      <c r="D31" s="69">
        <v>116016</v>
      </c>
      <c r="E31" s="69">
        <v>111546</v>
      </c>
      <c r="F31" s="69">
        <v>103019</v>
      </c>
      <c r="G31" s="69"/>
      <c r="J31" t="s">
        <v>124</v>
      </c>
    </row>
    <row r="32" spans="1:20" x14ac:dyDescent="0.25">
      <c r="J32" t="s">
        <v>69</v>
      </c>
      <c r="K32" s="34">
        <v>126946</v>
      </c>
      <c r="L32" s="34">
        <v>124534</v>
      </c>
      <c r="M32" s="34">
        <v>117007</v>
      </c>
      <c r="N32" s="34"/>
      <c r="Q32" s="34"/>
      <c r="T32" s="34"/>
    </row>
    <row r="33" spans="10:20" x14ac:dyDescent="0.25">
      <c r="J33" t="s">
        <v>70</v>
      </c>
      <c r="K33" s="34">
        <v>126946</v>
      </c>
      <c r="L33" s="34">
        <v>127356</v>
      </c>
      <c r="M33" s="34">
        <v>119293</v>
      </c>
      <c r="N33" s="34"/>
      <c r="Q33" s="34"/>
      <c r="T3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33A0-2070-4DAF-891B-B99A1FFB0202}">
  <dimension ref="A1:T52"/>
  <sheetViews>
    <sheetView topLeftCell="A13" workbookViewId="0">
      <selection activeCell="J10" sqref="J10"/>
    </sheetView>
  </sheetViews>
  <sheetFormatPr defaultRowHeight="15" x14ac:dyDescent="0.25"/>
  <cols>
    <col min="4" max="6" width="12.28515625" customWidth="1"/>
    <col min="9" max="9" width="39.5703125" customWidth="1"/>
    <col min="10" max="12" width="17.5703125" customWidth="1"/>
  </cols>
  <sheetData>
    <row r="1" spans="1:20" x14ac:dyDescent="0.25">
      <c r="A1" s="72" t="s">
        <v>72</v>
      </c>
      <c r="B1" s="72"/>
      <c r="C1" s="72"/>
      <c r="D1" s="72"/>
      <c r="E1" s="72"/>
      <c r="F1" s="72"/>
      <c r="I1" s="65" t="s">
        <v>72</v>
      </c>
      <c r="J1" s="65"/>
      <c r="K1" s="65"/>
      <c r="L1" s="65"/>
      <c r="M1" s="65"/>
      <c r="N1" s="65"/>
    </row>
    <row r="3" spans="1:20" x14ac:dyDescent="0.25"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x14ac:dyDescent="0.25">
      <c r="A4" s="73"/>
      <c r="B4" s="73"/>
      <c r="C4" s="73"/>
      <c r="D4" s="72" t="s">
        <v>56</v>
      </c>
      <c r="E4" s="72"/>
      <c r="F4" s="72"/>
      <c r="G4" s="72"/>
      <c r="H4" s="72"/>
    </row>
    <row r="5" spans="1:20" x14ac:dyDescent="0.25">
      <c r="A5" s="73"/>
      <c r="B5" s="73"/>
      <c r="C5" s="73"/>
      <c r="D5" s="67">
        <v>2020</v>
      </c>
      <c r="E5" s="67">
        <v>2021</v>
      </c>
      <c r="F5" s="67">
        <v>2022</v>
      </c>
      <c r="G5" s="67"/>
      <c r="H5" s="67"/>
      <c r="J5" s="67"/>
      <c r="K5" s="67"/>
      <c r="L5" s="67" t="s">
        <v>56</v>
      </c>
      <c r="M5" s="67"/>
      <c r="N5" s="67"/>
      <c r="O5" s="67"/>
      <c r="P5" s="67"/>
      <c r="Q5" s="67"/>
      <c r="R5" s="67"/>
      <c r="S5" s="67"/>
      <c r="T5" s="67"/>
    </row>
    <row r="6" spans="1:20" x14ac:dyDescent="0.25">
      <c r="A6" s="72" t="s">
        <v>73</v>
      </c>
      <c r="B6" s="72"/>
      <c r="C6" s="72"/>
      <c r="J6" s="67">
        <v>2017</v>
      </c>
      <c r="K6" s="67">
        <v>2018</v>
      </c>
      <c r="L6" s="67">
        <v>2019</v>
      </c>
      <c r="M6" s="67"/>
      <c r="N6" s="67"/>
      <c r="P6" s="67"/>
      <c r="Q6" s="67"/>
      <c r="S6" s="67"/>
      <c r="T6" s="67"/>
    </row>
    <row r="7" spans="1:20" x14ac:dyDescent="0.25">
      <c r="A7" s="72" t="s">
        <v>27</v>
      </c>
      <c r="B7" s="72"/>
      <c r="C7" s="72"/>
      <c r="D7" s="68">
        <v>733611</v>
      </c>
      <c r="E7" s="68">
        <v>1033353</v>
      </c>
      <c r="F7" s="68">
        <v>103152</v>
      </c>
      <c r="G7" s="68"/>
      <c r="I7" s="67" t="s">
        <v>73</v>
      </c>
    </row>
    <row r="8" spans="1:20" x14ac:dyDescent="0.25">
      <c r="A8" s="72" t="s">
        <v>74</v>
      </c>
      <c r="B8" s="72"/>
      <c r="C8" s="72"/>
      <c r="I8" t="s">
        <v>122</v>
      </c>
      <c r="J8" s="76">
        <v>-40288</v>
      </c>
      <c r="K8" s="74">
        <v>133125</v>
      </c>
      <c r="L8" s="74">
        <v>334325</v>
      </c>
      <c r="M8" s="74"/>
      <c r="P8" s="74"/>
      <c r="S8" s="76"/>
    </row>
    <row r="9" spans="1:20" x14ac:dyDescent="0.25">
      <c r="A9" s="72" t="s">
        <v>75</v>
      </c>
      <c r="B9" s="72"/>
      <c r="C9" s="72"/>
      <c r="D9" s="69">
        <v>203206</v>
      </c>
      <c r="E9" s="69">
        <v>210949</v>
      </c>
      <c r="F9" s="69">
        <v>206423</v>
      </c>
      <c r="G9" s="69"/>
      <c r="I9" t="s">
        <v>125</v>
      </c>
    </row>
    <row r="10" spans="1:20" x14ac:dyDescent="0.25">
      <c r="A10" s="72" t="s">
        <v>76</v>
      </c>
      <c r="B10" s="72"/>
      <c r="C10" s="72"/>
      <c r="D10" s="69">
        <v>252898</v>
      </c>
      <c r="E10" s="69">
        <v>150466</v>
      </c>
      <c r="F10" s="69">
        <v>132425</v>
      </c>
      <c r="G10" s="69"/>
      <c r="I10" t="s">
        <v>75</v>
      </c>
      <c r="J10" s="34">
        <v>174425</v>
      </c>
      <c r="K10" s="34">
        <v>208646</v>
      </c>
      <c r="L10" s="34">
        <v>221632</v>
      </c>
      <c r="M10" s="34"/>
      <c r="P10" s="34"/>
      <c r="S10" s="34"/>
    </row>
    <row r="11" spans="1:20" x14ac:dyDescent="0.25">
      <c r="A11" s="72" t="s">
        <v>77</v>
      </c>
      <c r="B11" s="72"/>
      <c r="C11" s="72"/>
      <c r="D11" s="69">
        <v>61991</v>
      </c>
      <c r="E11" s="69">
        <v>744</v>
      </c>
      <c r="F11" s="67" t="s">
        <v>78</v>
      </c>
      <c r="G11" s="67"/>
      <c r="I11" t="s">
        <v>76</v>
      </c>
      <c r="J11" s="34">
        <v>539790</v>
      </c>
      <c r="K11" s="34">
        <v>454451</v>
      </c>
      <c r="L11" s="34">
        <v>247299</v>
      </c>
      <c r="M11" s="34"/>
      <c r="P11" s="34"/>
      <c r="S11" s="34"/>
    </row>
    <row r="12" spans="1:20" x14ac:dyDescent="0.25">
      <c r="A12" s="72" t="s">
        <v>79</v>
      </c>
      <c r="B12" s="72"/>
      <c r="C12" s="72"/>
      <c r="D12" s="70">
        <v>-18136</v>
      </c>
      <c r="E12" s="69">
        <v>31875</v>
      </c>
      <c r="F12" s="70">
        <v>-66145</v>
      </c>
      <c r="G12" s="70"/>
      <c r="I12" t="s">
        <v>77</v>
      </c>
      <c r="J12" s="34">
        <v>928</v>
      </c>
      <c r="K12" s="34">
        <v>90201</v>
      </c>
      <c r="L12" t="s">
        <v>78</v>
      </c>
      <c r="P12" s="34"/>
      <c r="S12" s="34"/>
    </row>
    <row r="13" spans="1:20" x14ac:dyDescent="0.25">
      <c r="A13" s="72" t="s">
        <v>80</v>
      </c>
      <c r="B13" s="72"/>
      <c r="C13" s="72"/>
      <c r="D13" s="69">
        <v>5281</v>
      </c>
      <c r="E13" s="67" t="s">
        <v>78</v>
      </c>
      <c r="F13" s="69">
        <v>227101</v>
      </c>
      <c r="G13" s="69"/>
      <c r="I13" t="s">
        <v>79</v>
      </c>
      <c r="J13" s="75">
        <v>-32248</v>
      </c>
      <c r="K13" s="75">
        <v>-70169</v>
      </c>
      <c r="L13" s="75">
        <v>-11099</v>
      </c>
      <c r="M13" s="75"/>
      <c r="P13" s="75"/>
      <c r="S13" s="75"/>
    </row>
    <row r="14" spans="1:20" x14ac:dyDescent="0.25">
      <c r="A14" s="72" t="s">
        <v>81</v>
      </c>
      <c r="B14" s="72"/>
      <c r="C14" s="72"/>
      <c r="D14" s="67" t="s">
        <v>78</v>
      </c>
      <c r="E14" s="69">
        <v>48000</v>
      </c>
      <c r="F14" s="69">
        <v>12411</v>
      </c>
      <c r="G14" s="69"/>
      <c r="I14" t="s">
        <v>126</v>
      </c>
      <c r="J14" s="34">
        <v>953</v>
      </c>
      <c r="K14" s="75">
        <v>-2376</v>
      </c>
      <c r="L14" s="75">
        <v>-1300</v>
      </c>
      <c r="M14" s="75"/>
      <c r="P14" s="75"/>
      <c r="S14" s="34"/>
    </row>
    <row r="15" spans="1:20" x14ac:dyDescent="0.25">
      <c r="A15" s="72" t="s">
        <v>82</v>
      </c>
      <c r="B15" s="72"/>
      <c r="C15" s="72"/>
      <c r="D15" s="69">
        <v>89322</v>
      </c>
      <c r="E15" s="69">
        <v>83507</v>
      </c>
      <c r="F15" s="69">
        <v>105580</v>
      </c>
      <c r="G15" s="69"/>
      <c r="I15" t="s">
        <v>127</v>
      </c>
      <c r="J15" t="s">
        <v>78</v>
      </c>
      <c r="K15" t="s">
        <v>78</v>
      </c>
      <c r="L15" s="75">
        <v>-43008</v>
      </c>
      <c r="M15" s="75"/>
    </row>
    <row r="16" spans="1:20" x14ac:dyDescent="0.25">
      <c r="A16" s="72" t="s">
        <v>83</v>
      </c>
      <c r="B16" s="72"/>
      <c r="C16" s="72"/>
      <c r="D16" s="70">
        <v>-4657</v>
      </c>
      <c r="E16" s="69">
        <v>14150</v>
      </c>
      <c r="F16" s="69">
        <v>25299</v>
      </c>
      <c r="G16" s="69"/>
      <c r="I16" t="s">
        <v>128</v>
      </c>
      <c r="J16" t="s">
        <v>78</v>
      </c>
      <c r="K16" t="s">
        <v>78</v>
      </c>
      <c r="L16" s="34">
        <v>18339</v>
      </c>
      <c r="M16" s="34"/>
    </row>
    <row r="17" spans="1:19" x14ac:dyDescent="0.25">
      <c r="A17" s="72" t="s">
        <v>84</v>
      </c>
      <c r="B17" s="72"/>
      <c r="C17" s="72"/>
      <c r="I17" t="s">
        <v>129</v>
      </c>
      <c r="J17" s="34">
        <v>46315</v>
      </c>
      <c r="K17" s="34">
        <v>15901</v>
      </c>
      <c r="L17" s="34">
        <v>1057</v>
      </c>
      <c r="M17" s="34"/>
      <c r="P17" s="34"/>
      <c r="S17" s="34"/>
    </row>
    <row r="18" spans="1:19" x14ac:dyDescent="0.25">
      <c r="A18" s="72" t="s">
        <v>85</v>
      </c>
      <c r="B18" s="72"/>
      <c r="C18" s="72"/>
      <c r="D18" s="70">
        <v>-91275</v>
      </c>
      <c r="E18" s="70">
        <v>-107896</v>
      </c>
      <c r="F18" s="69">
        <v>264781</v>
      </c>
      <c r="G18" s="69"/>
      <c r="I18" t="s">
        <v>82</v>
      </c>
      <c r="J18" s="34">
        <v>68158</v>
      </c>
      <c r="K18" s="34">
        <v>71580</v>
      </c>
      <c r="L18" s="34">
        <v>75978</v>
      </c>
      <c r="M18" s="34"/>
      <c r="P18" s="34"/>
      <c r="S18" s="34"/>
    </row>
    <row r="19" spans="1:19" x14ac:dyDescent="0.25">
      <c r="A19" s="72" t="s">
        <v>86</v>
      </c>
      <c r="B19" s="72"/>
      <c r="C19" s="72"/>
      <c r="D19" s="69">
        <v>9390</v>
      </c>
      <c r="E19" s="70">
        <v>-236196</v>
      </c>
      <c r="F19" s="70">
        <v>-81450</v>
      </c>
      <c r="G19" s="70"/>
      <c r="I19" t="s">
        <v>83</v>
      </c>
      <c r="J19" s="34">
        <v>3792</v>
      </c>
      <c r="K19" s="34">
        <v>5087</v>
      </c>
      <c r="L19" s="34">
        <v>10178</v>
      </c>
      <c r="M19" s="34"/>
      <c r="P19" s="34"/>
      <c r="S19" s="34"/>
    </row>
    <row r="20" spans="1:19" x14ac:dyDescent="0.25">
      <c r="A20" s="72" t="s">
        <v>87</v>
      </c>
      <c r="B20" s="72"/>
      <c r="C20" s="72"/>
      <c r="D20" s="70">
        <v>-18490</v>
      </c>
      <c r="E20" s="70">
        <v>-176742</v>
      </c>
      <c r="F20" s="69">
        <v>43240</v>
      </c>
      <c r="G20" s="69"/>
      <c r="I20" t="s">
        <v>84</v>
      </c>
    </row>
    <row r="21" spans="1:19" x14ac:dyDescent="0.25">
      <c r="A21" s="72" t="s">
        <v>88</v>
      </c>
      <c r="B21" s="72"/>
      <c r="C21" s="72"/>
      <c r="D21" s="69">
        <v>34201</v>
      </c>
      <c r="E21" s="69">
        <v>33950</v>
      </c>
      <c r="F21" s="70">
        <v>-115495</v>
      </c>
      <c r="G21" s="70"/>
      <c r="I21" t="s">
        <v>85</v>
      </c>
      <c r="J21" s="34">
        <v>12906</v>
      </c>
      <c r="K21" s="75">
        <v>-32119</v>
      </c>
      <c r="L21" s="34">
        <v>21029</v>
      </c>
      <c r="M21" s="34"/>
      <c r="P21" s="75"/>
      <c r="S21" s="34"/>
    </row>
    <row r="22" spans="1:19" x14ac:dyDescent="0.25">
      <c r="A22" s="72" t="s">
        <v>89</v>
      </c>
      <c r="B22" s="72"/>
      <c r="C22" s="72"/>
      <c r="D22" s="69">
        <v>30671</v>
      </c>
      <c r="E22" s="70">
        <v>-11815</v>
      </c>
      <c r="F22" s="70">
        <v>-17613</v>
      </c>
      <c r="G22" s="70"/>
      <c r="I22" t="s">
        <v>86</v>
      </c>
      <c r="J22" s="75">
        <v>-41887</v>
      </c>
      <c r="K22" s="75">
        <v>-39590</v>
      </c>
      <c r="L22" s="34">
        <v>10252</v>
      </c>
      <c r="M22" s="34"/>
      <c r="P22" s="75"/>
      <c r="S22" s="75"/>
    </row>
    <row r="23" spans="1:19" x14ac:dyDescent="0.25">
      <c r="A23" s="72" t="s">
        <v>90</v>
      </c>
      <c r="B23" s="72"/>
      <c r="C23" s="72"/>
      <c r="D23" s="69">
        <v>34618</v>
      </c>
      <c r="E23" s="70">
        <v>-3139</v>
      </c>
      <c r="F23" s="70">
        <v>-33240</v>
      </c>
      <c r="G23" s="70"/>
      <c r="I23" t="s">
        <v>130</v>
      </c>
      <c r="J23" s="34">
        <v>28310</v>
      </c>
      <c r="K23" s="34">
        <v>13343</v>
      </c>
      <c r="L23" s="75">
        <v>-14513</v>
      </c>
      <c r="M23" s="75"/>
      <c r="P23" s="34"/>
      <c r="S23" s="34"/>
    </row>
    <row r="24" spans="1:19" x14ac:dyDescent="0.25">
      <c r="A24" s="72" t="s">
        <v>91</v>
      </c>
      <c r="B24" s="72"/>
      <c r="C24" s="72"/>
      <c r="D24" s="70">
        <v>-20778</v>
      </c>
      <c r="E24" s="70">
        <v>-21963</v>
      </c>
      <c r="F24" s="69">
        <v>36762</v>
      </c>
      <c r="G24" s="69"/>
      <c r="I24" t="s">
        <v>88</v>
      </c>
      <c r="J24" s="34">
        <v>38952</v>
      </c>
      <c r="K24" s="34">
        <v>15167</v>
      </c>
      <c r="L24" s="34">
        <v>15425</v>
      </c>
      <c r="M24" s="34"/>
      <c r="P24" s="34"/>
      <c r="S24" s="34"/>
    </row>
    <row r="25" spans="1:19" x14ac:dyDescent="0.25">
      <c r="A25" s="72" t="s">
        <v>92</v>
      </c>
      <c r="B25" s="72"/>
      <c r="C25" s="72"/>
      <c r="D25" s="69">
        <v>1301853</v>
      </c>
      <c r="E25" s="69">
        <v>1049243</v>
      </c>
      <c r="F25" s="69">
        <v>843231</v>
      </c>
      <c r="G25" s="69"/>
      <c r="I25" t="s">
        <v>89</v>
      </c>
      <c r="J25" s="75">
        <v>-2623</v>
      </c>
      <c r="K25" s="75">
        <v>-3899</v>
      </c>
      <c r="L25" s="34">
        <v>48670</v>
      </c>
      <c r="M25" s="34"/>
      <c r="P25" s="75"/>
      <c r="S25" s="75"/>
    </row>
    <row r="26" spans="1:19" x14ac:dyDescent="0.25">
      <c r="A26" s="72" t="s">
        <v>93</v>
      </c>
      <c r="B26" s="72"/>
      <c r="C26" s="72"/>
      <c r="I26" t="s">
        <v>90</v>
      </c>
      <c r="J26" s="34">
        <v>50801</v>
      </c>
      <c r="K26" s="75">
        <v>-38206</v>
      </c>
      <c r="L26" s="34">
        <v>12935</v>
      </c>
      <c r="M26" s="34"/>
      <c r="P26" s="75"/>
      <c r="S26" s="34"/>
    </row>
    <row r="27" spans="1:19" x14ac:dyDescent="0.25">
      <c r="A27" s="72" t="s">
        <v>94</v>
      </c>
      <c r="B27" s="72"/>
      <c r="C27" s="72"/>
      <c r="D27" s="70">
        <v>-186960</v>
      </c>
      <c r="E27" s="70">
        <v>-213466</v>
      </c>
      <c r="F27" s="70">
        <v>-158953</v>
      </c>
      <c r="G27" s="70"/>
      <c r="I27" t="s">
        <v>91</v>
      </c>
      <c r="J27" s="34">
        <v>4236</v>
      </c>
      <c r="K27" s="75">
        <v>-10778</v>
      </c>
      <c r="L27" s="75">
        <v>-1553</v>
      </c>
      <c r="M27" s="75"/>
      <c r="P27" s="75"/>
      <c r="S27" s="34"/>
    </row>
    <row r="28" spans="1:19" x14ac:dyDescent="0.25">
      <c r="A28" s="72" t="s">
        <v>95</v>
      </c>
      <c r="B28" s="72"/>
      <c r="C28" s="72"/>
      <c r="D28" s="70">
        <v>-47069</v>
      </c>
      <c r="E28" s="70">
        <v>-389136</v>
      </c>
      <c r="F28" s="70">
        <v>-95</v>
      </c>
      <c r="G28" s="70"/>
      <c r="I28" t="s">
        <v>92</v>
      </c>
      <c r="J28" s="34">
        <v>852520</v>
      </c>
      <c r="K28" s="34">
        <v>810364</v>
      </c>
      <c r="L28" s="34">
        <v>945646</v>
      </c>
      <c r="M28" s="34"/>
      <c r="P28" s="34"/>
      <c r="S28" s="34"/>
    </row>
    <row r="29" spans="1:19" x14ac:dyDescent="0.25">
      <c r="A29" s="72" t="s">
        <v>96</v>
      </c>
      <c r="B29" s="72"/>
      <c r="C29" s="72"/>
      <c r="D29" s="69">
        <v>15371</v>
      </c>
      <c r="E29" s="69">
        <v>6646</v>
      </c>
      <c r="F29" s="69">
        <v>5639</v>
      </c>
      <c r="G29" s="69"/>
      <c r="I29" s="67" t="s">
        <v>131</v>
      </c>
    </row>
    <row r="30" spans="1:19" x14ac:dyDescent="0.25">
      <c r="A30" s="72" t="s">
        <v>97</v>
      </c>
      <c r="B30" s="72"/>
      <c r="C30" s="72"/>
      <c r="D30" s="70">
        <v>-218658</v>
      </c>
      <c r="E30" s="70">
        <v>-595956</v>
      </c>
      <c r="F30" s="70">
        <v>-153409</v>
      </c>
      <c r="G30" s="70"/>
      <c r="I30" t="s">
        <v>132</v>
      </c>
      <c r="J30" s="75">
        <v>-269835</v>
      </c>
      <c r="K30" s="75">
        <v>-220937</v>
      </c>
      <c r="L30" s="75">
        <v>-164104</v>
      </c>
      <c r="M30" s="75"/>
      <c r="P30" s="75"/>
      <c r="S30" s="75"/>
    </row>
    <row r="31" spans="1:19" x14ac:dyDescent="0.25">
      <c r="A31" s="72" t="s">
        <v>98</v>
      </c>
      <c r="B31" s="72"/>
      <c r="C31" s="72"/>
      <c r="I31" t="s">
        <v>133</v>
      </c>
      <c r="J31" t="s">
        <v>78</v>
      </c>
      <c r="K31" s="75">
        <v>-132732</v>
      </c>
      <c r="L31" t="s">
        <v>78</v>
      </c>
      <c r="P31" s="75"/>
    </row>
    <row r="32" spans="1:19" x14ac:dyDescent="0.25">
      <c r="A32" s="72" t="s">
        <v>99</v>
      </c>
      <c r="B32" s="72"/>
      <c r="C32" s="72"/>
      <c r="D32" s="70">
        <v>-1087994</v>
      </c>
      <c r="E32" s="70">
        <v>-197500</v>
      </c>
      <c r="F32" s="67" t="s">
        <v>78</v>
      </c>
      <c r="G32" s="67"/>
      <c r="I32" t="s">
        <v>134</v>
      </c>
      <c r="J32" t="s">
        <v>78</v>
      </c>
      <c r="K32" s="34">
        <v>133132</v>
      </c>
      <c r="L32" s="34">
        <v>1950</v>
      </c>
      <c r="M32" s="34"/>
      <c r="P32" s="34"/>
    </row>
    <row r="33" spans="1:19" x14ac:dyDescent="0.25">
      <c r="A33" s="72" t="s">
        <v>100</v>
      </c>
      <c r="B33" s="72"/>
      <c r="C33" s="72"/>
      <c r="D33" s="69">
        <v>1206750</v>
      </c>
      <c r="E33" s="69">
        <v>499070</v>
      </c>
      <c r="F33" s="67" t="s">
        <v>78</v>
      </c>
      <c r="G33" s="67"/>
      <c r="I33" t="s">
        <v>135</v>
      </c>
      <c r="J33" t="s">
        <v>78</v>
      </c>
      <c r="K33" t="s">
        <v>78</v>
      </c>
      <c r="L33" s="75">
        <v>-946043</v>
      </c>
      <c r="M33" s="75"/>
    </row>
    <row r="34" spans="1:19" x14ac:dyDescent="0.25">
      <c r="A34" s="72" t="s">
        <v>101</v>
      </c>
      <c r="B34" s="72"/>
      <c r="C34" s="72"/>
      <c r="D34" s="70">
        <v>-515084</v>
      </c>
      <c r="E34" s="70">
        <v>-1152287</v>
      </c>
      <c r="F34" s="70">
        <v>-861751</v>
      </c>
      <c r="G34" s="70"/>
      <c r="I34" t="s">
        <v>136</v>
      </c>
      <c r="J34" s="75">
        <v>-7574</v>
      </c>
      <c r="K34" s="75">
        <v>-27017</v>
      </c>
      <c r="L34" s="34">
        <v>2455</v>
      </c>
      <c r="M34" s="34"/>
      <c r="P34" s="75"/>
      <c r="S34" s="75"/>
    </row>
    <row r="35" spans="1:19" x14ac:dyDescent="0.25">
      <c r="A35" s="72" t="s">
        <v>102</v>
      </c>
      <c r="B35" s="72"/>
      <c r="C35" s="72"/>
      <c r="D35" s="69">
        <v>42598</v>
      </c>
      <c r="E35" s="69">
        <v>38303</v>
      </c>
      <c r="F35" s="69">
        <v>32507</v>
      </c>
      <c r="G35" s="69"/>
      <c r="I35" t="s">
        <v>97</v>
      </c>
      <c r="J35" s="75">
        <v>-277409</v>
      </c>
      <c r="K35" s="75">
        <v>-247554</v>
      </c>
      <c r="L35" s="75">
        <v>-1105742</v>
      </c>
      <c r="M35" s="75"/>
      <c r="O35" s="79"/>
      <c r="P35" s="75"/>
      <c r="S35" s="75"/>
    </row>
    <row r="36" spans="1:19" x14ac:dyDescent="0.25">
      <c r="A36" s="72" t="s">
        <v>103</v>
      </c>
      <c r="B36" s="72"/>
      <c r="C36" s="72"/>
      <c r="D36" s="70">
        <v>-38658</v>
      </c>
      <c r="E36" s="70">
        <v>-53382</v>
      </c>
      <c r="F36" s="70">
        <v>-23415</v>
      </c>
      <c r="G36" s="70"/>
      <c r="I36" s="67" t="s">
        <v>137</v>
      </c>
    </row>
    <row r="37" spans="1:19" x14ac:dyDescent="0.25">
      <c r="A37" s="72" t="s">
        <v>104</v>
      </c>
      <c r="B37" s="72"/>
      <c r="C37" s="72"/>
      <c r="D37" s="70">
        <v>-9535</v>
      </c>
      <c r="E37" s="70">
        <v>-9714</v>
      </c>
      <c r="F37" s="70">
        <v>-694</v>
      </c>
      <c r="G37" s="70"/>
      <c r="I37" t="s">
        <v>99</v>
      </c>
      <c r="J37" s="75">
        <v>-107729</v>
      </c>
      <c r="K37" s="75">
        <v>-1050680</v>
      </c>
      <c r="L37" t="s">
        <v>78</v>
      </c>
      <c r="P37" s="75"/>
      <c r="S37" s="75"/>
    </row>
    <row r="38" spans="1:19" x14ac:dyDescent="0.25">
      <c r="A38" s="72" t="s">
        <v>105</v>
      </c>
      <c r="B38" s="72"/>
      <c r="C38" s="72"/>
      <c r="D38" s="70">
        <v>-401923</v>
      </c>
      <c r="E38" s="70">
        <v>-875510</v>
      </c>
      <c r="F38" s="70">
        <v>-853353</v>
      </c>
      <c r="G38" s="70"/>
      <c r="I38" t="s">
        <v>100</v>
      </c>
      <c r="J38" s="34">
        <v>100000</v>
      </c>
      <c r="K38" s="34">
        <v>905350</v>
      </c>
      <c r="L38" s="34">
        <v>659000</v>
      </c>
      <c r="M38" s="34"/>
      <c r="P38" s="34"/>
      <c r="S38" s="34"/>
    </row>
    <row r="39" spans="1:19" x14ac:dyDescent="0.25">
      <c r="A39" s="72" t="s">
        <v>106</v>
      </c>
      <c r="B39" s="72"/>
      <c r="C39" s="72"/>
      <c r="D39" s="69">
        <v>1425</v>
      </c>
      <c r="E39" s="70">
        <v>-3281</v>
      </c>
      <c r="F39" s="70">
        <v>-331</v>
      </c>
      <c r="G39" s="70"/>
      <c r="I39" t="s">
        <v>101</v>
      </c>
      <c r="J39" s="75">
        <v>-219907</v>
      </c>
      <c r="K39" s="75">
        <v>-638074</v>
      </c>
      <c r="L39" s="75">
        <v>-515131</v>
      </c>
      <c r="M39" s="75"/>
      <c r="P39" s="75"/>
      <c r="S39" s="75"/>
    </row>
    <row r="40" spans="1:19" x14ac:dyDescent="0.25">
      <c r="A40" s="72" t="s">
        <v>107</v>
      </c>
      <c r="B40" s="72"/>
      <c r="C40" s="72"/>
      <c r="D40" s="69">
        <v>682697</v>
      </c>
      <c r="E40" s="70">
        <v>-425504</v>
      </c>
      <c r="F40" s="70">
        <v>-163862</v>
      </c>
      <c r="G40" s="70"/>
      <c r="I40" t="s">
        <v>102</v>
      </c>
      <c r="J40" s="34">
        <v>57412</v>
      </c>
      <c r="K40" s="34">
        <v>41289</v>
      </c>
      <c r="L40" s="34">
        <v>50198</v>
      </c>
      <c r="M40" s="34"/>
      <c r="P40" s="34"/>
      <c r="S40" s="34"/>
    </row>
    <row r="41" spans="1:19" x14ac:dyDescent="0.25">
      <c r="A41" s="72" t="s">
        <v>108</v>
      </c>
      <c r="B41" s="72"/>
      <c r="C41" s="72"/>
      <c r="D41" s="69">
        <v>715612</v>
      </c>
      <c r="E41" s="69">
        <v>1398309</v>
      </c>
      <c r="F41" s="69">
        <v>972805</v>
      </c>
      <c r="G41" s="69"/>
      <c r="I41" t="s">
        <v>103</v>
      </c>
      <c r="J41" s="75">
        <v>-24708</v>
      </c>
      <c r="K41" s="75">
        <v>-24835</v>
      </c>
      <c r="L41" s="75">
        <v>-21791</v>
      </c>
      <c r="M41" s="75"/>
      <c r="P41" s="75"/>
      <c r="S41" s="75"/>
    </row>
    <row r="42" spans="1:19" x14ac:dyDescent="0.25">
      <c r="A42" s="72" t="s">
        <v>109</v>
      </c>
      <c r="B42" s="72"/>
      <c r="C42" s="72"/>
      <c r="D42" s="68">
        <v>1398309</v>
      </c>
      <c r="E42" s="68">
        <v>972805</v>
      </c>
      <c r="F42" s="68">
        <v>808943</v>
      </c>
      <c r="G42" s="68"/>
      <c r="I42" t="s">
        <v>138</v>
      </c>
      <c r="J42" s="75">
        <v>-1916</v>
      </c>
      <c r="K42" s="75">
        <v>-9714</v>
      </c>
      <c r="L42" s="75">
        <v>-6717</v>
      </c>
      <c r="M42" s="75"/>
      <c r="P42" s="75"/>
      <c r="S42" s="75"/>
    </row>
    <row r="43" spans="1:19" x14ac:dyDescent="0.25">
      <c r="A43" s="73"/>
      <c r="B43" s="73"/>
      <c r="C43" s="73"/>
      <c r="I43" t="s">
        <v>139</v>
      </c>
      <c r="J43" s="75">
        <v>-196848</v>
      </c>
      <c r="K43" s="75">
        <v>-776664</v>
      </c>
      <c r="L43" s="34">
        <v>165559</v>
      </c>
      <c r="M43" s="34"/>
      <c r="P43" s="75"/>
      <c r="S43" s="75"/>
    </row>
    <row r="44" spans="1:19" x14ac:dyDescent="0.25">
      <c r="A44" s="72" t="s">
        <v>110</v>
      </c>
      <c r="B44" s="72"/>
      <c r="C44" s="72"/>
      <c r="I44" t="s">
        <v>140</v>
      </c>
      <c r="J44" s="34">
        <v>2360</v>
      </c>
      <c r="K44" s="75">
        <v>-1166</v>
      </c>
      <c r="L44" s="75">
        <v>-1233</v>
      </c>
      <c r="M44" s="75"/>
      <c r="P44" s="75"/>
      <c r="S44" s="34"/>
    </row>
    <row r="45" spans="1:19" x14ac:dyDescent="0.25">
      <c r="A45" s="72" t="s">
        <v>111</v>
      </c>
      <c r="B45" s="72"/>
      <c r="C45" s="72"/>
      <c r="D45" s="68">
        <v>1397880</v>
      </c>
      <c r="E45" s="68">
        <v>972592</v>
      </c>
      <c r="F45" s="68">
        <v>808757</v>
      </c>
      <c r="G45" s="68"/>
      <c r="I45" t="s">
        <v>141</v>
      </c>
      <c r="J45" s="34">
        <v>380623</v>
      </c>
      <c r="K45" s="75">
        <v>-215020</v>
      </c>
      <c r="L45" s="34">
        <v>4230</v>
      </c>
      <c r="M45" s="34"/>
      <c r="P45" s="75"/>
      <c r="S45" s="34"/>
    </row>
    <row r="46" spans="1:19" x14ac:dyDescent="0.25">
      <c r="A46" s="72" t="s">
        <v>112</v>
      </c>
      <c r="B46" s="72"/>
      <c r="C46" s="72"/>
      <c r="D46" s="69">
        <v>429</v>
      </c>
      <c r="E46" s="69">
        <v>213</v>
      </c>
      <c r="F46" s="69">
        <v>186</v>
      </c>
      <c r="G46" s="69"/>
      <c r="I46" t="s">
        <v>108</v>
      </c>
      <c r="J46" s="34">
        <v>545779</v>
      </c>
      <c r="K46" s="34">
        <v>926402</v>
      </c>
      <c r="L46" s="34">
        <v>711382</v>
      </c>
      <c r="M46" s="34"/>
      <c r="P46" s="34"/>
      <c r="S46" s="34"/>
    </row>
    <row r="47" spans="1:19" x14ac:dyDescent="0.25">
      <c r="A47" s="72" t="s">
        <v>113</v>
      </c>
      <c r="B47" s="72"/>
      <c r="C47" s="72"/>
      <c r="D47" s="68">
        <v>1398309</v>
      </c>
      <c r="E47" s="68">
        <v>972805</v>
      </c>
      <c r="F47" s="68">
        <v>808943</v>
      </c>
      <c r="G47" s="68"/>
      <c r="I47" t="s">
        <v>109</v>
      </c>
      <c r="J47" s="74">
        <v>926402</v>
      </c>
      <c r="K47" s="74">
        <v>711382</v>
      </c>
      <c r="L47" s="74">
        <v>715612</v>
      </c>
      <c r="M47" s="74"/>
      <c r="P47" s="74"/>
      <c r="S47" s="74"/>
    </row>
    <row r="48" spans="1:19" x14ac:dyDescent="0.25">
      <c r="A48" s="73"/>
      <c r="B48" s="73"/>
      <c r="C48" s="73"/>
      <c r="I48" s="67" t="s">
        <v>114</v>
      </c>
    </row>
    <row r="49" spans="1:19" x14ac:dyDescent="0.25">
      <c r="A49" s="72" t="s">
        <v>114</v>
      </c>
      <c r="B49" s="72"/>
      <c r="C49" s="72"/>
      <c r="I49" t="s">
        <v>142</v>
      </c>
      <c r="J49" s="74">
        <v>70208</v>
      </c>
      <c r="K49" s="74">
        <v>64853</v>
      </c>
      <c r="L49" s="74">
        <v>54445</v>
      </c>
      <c r="M49" s="74"/>
      <c r="P49" s="74"/>
      <c r="S49" s="74"/>
    </row>
    <row r="50" spans="1:19" x14ac:dyDescent="0.25">
      <c r="A50" s="72" t="s">
        <v>115</v>
      </c>
      <c r="B50" s="72"/>
      <c r="C50" s="72"/>
      <c r="D50" s="68">
        <v>81232</v>
      </c>
      <c r="E50" s="68">
        <v>59393</v>
      </c>
      <c r="F50" s="68">
        <v>66115</v>
      </c>
      <c r="G50" s="68"/>
      <c r="I50" t="s">
        <v>143</v>
      </c>
      <c r="J50" s="74">
        <v>41478</v>
      </c>
      <c r="K50" s="74">
        <v>69453</v>
      </c>
      <c r="L50" s="74">
        <v>55513</v>
      </c>
      <c r="M50" s="74"/>
      <c r="P50" s="74"/>
      <c r="S50" s="74"/>
    </row>
    <row r="51" spans="1:19" x14ac:dyDescent="0.25">
      <c r="A51" s="72" t="s">
        <v>116</v>
      </c>
      <c r="B51" s="72"/>
      <c r="C51" s="72"/>
      <c r="D51" s="68">
        <v>53236</v>
      </c>
      <c r="E51" s="68">
        <v>125322</v>
      </c>
      <c r="F51" s="68">
        <v>105788</v>
      </c>
      <c r="G51" s="68"/>
      <c r="I51" s="67" t="s">
        <v>144</v>
      </c>
    </row>
    <row r="52" spans="1:19" x14ac:dyDescent="0.25">
      <c r="A52" s="72" t="s">
        <v>117</v>
      </c>
      <c r="B52" s="72"/>
      <c r="C52" s="72"/>
      <c r="D52" s="68">
        <v>56469</v>
      </c>
      <c r="E52" s="68">
        <v>36069</v>
      </c>
      <c r="F52" s="68">
        <v>33107</v>
      </c>
      <c r="G52" s="68"/>
      <c r="I52" t="s">
        <v>145</v>
      </c>
      <c r="J52" s="74">
        <v>31769</v>
      </c>
      <c r="K52" s="74">
        <v>37728</v>
      </c>
      <c r="L52" s="74">
        <v>22904</v>
      </c>
      <c r="M52" s="74"/>
      <c r="P52" s="74"/>
      <c r="S52" s="74"/>
    </row>
  </sheetData>
  <mergeCells count="2">
    <mergeCell ref="I1:N1"/>
    <mergeCell ref="I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QRVO DCF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2023-07-21T15:26:08Z</dcterms:modified>
</cp:coreProperties>
</file>