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E21DA82B-6979-4BD4-9C36-280A6AFD353B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BABA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1" l="1"/>
  <c r="L72" i="1" s="1"/>
  <c r="I44" i="1"/>
  <c r="I64" i="1"/>
  <c r="D76" i="1"/>
  <c r="C12" i="2" s="1"/>
  <c r="G12" i="2"/>
  <c r="H64" i="1"/>
  <c r="J63" i="1"/>
  <c r="I63" i="1"/>
  <c r="D62" i="1"/>
  <c r="E62" i="1"/>
  <c r="F62" i="1"/>
  <c r="G62" i="1"/>
  <c r="H62" i="1"/>
  <c r="C62" i="1"/>
  <c r="L75" i="1"/>
  <c r="L76" i="1" s="1"/>
  <c r="I53" i="1" l="1"/>
  <c r="H44" i="1"/>
  <c r="J36" i="1"/>
  <c r="I36" i="1"/>
  <c r="I33" i="1"/>
  <c r="J28" i="1"/>
  <c r="I28" i="1"/>
  <c r="J25" i="1"/>
  <c r="I25" i="1"/>
  <c r="J22" i="1"/>
  <c r="I22" i="1"/>
  <c r="J19" i="1"/>
  <c r="I19" i="1"/>
  <c r="J33" i="1"/>
  <c r="D37" i="1"/>
  <c r="E37" i="1"/>
  <c r="F37" i="1"/>
  <c r="G37" i="1"/>
  <c r="H37" i="1"/>
  <c r="C37" i="1"/>
  <c r="D34" i="1"/>
  <c r="E34" i="1"/>
  <c r="F34" i="1"/>
  <c r="G34" i="1"/>
  <c r="H34" i="1"/>
  <c r="C34" i="1"/>
  <c r="D33" i="1"/>
  <c r="E33" i="1"/>
  <c r="F33" i="1"/>
  <c r="G33" i="1"/>
  <c r="H33" i="1"/>
  <c r="C33" i="1"/>
  <c r="D29" i="1"/>
  <c r="E29" i="1"/>
  <c r="F29" i="1"/>
  <c r="G29" i="1"/>
  <c r="H29" i="1"/>
  <c r="C29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39" i="1"/>
  <c r="I11" i="1"/>
  <c r="C14" i="2"/>
  <c r="D73" i="1"/>
  <c r="F57" i="1"/>
  <c r="G57" i="1"/>
  <c r="H57" i="1"/>
  <c r="E56" i="1"/>
  <c r="E57" i="1" s="1"/>
  <c r="D56" i="1"/>
  <c r="D57" i="1" s="1"/>
  <c r="C56" i="1"/>
  <c r="C57" i="1" s="1"/>
  <c r="E53" i="1"/>
  <c r="D53" i="1"/>
  <c r="D54" i="1" s="1"/>
  <c r="C53" i="1"/>
  <c r="C54" i="1" s="1"/>
  <c r="F53" i="1"/>
  <c r="F54" i="1" s="1"/>
  <c r="G53" i="1"/>
  <c r="H53" i="1"/>
  <c r="H54" i="1" s="1"/>
  <c r="D63" i="1"/>
  <c r="E63" i="1"/>
  <c r="E49" i="1"/>
  <c r="D49" i="1"/>
  <c r="C49" i="1"/>
  <c r="F39" i="1"/>
  <c r="F40" i="1" s="1"/>
  <c r="E39" i="1"/>
  <c r="D39" i="1"/>
  <c r="D40" i="1" s="1"/>
  <c r="D28" i="1"/>
  <c r="G60" i="1"/>
  <c r="H60" i="1"/>
  <c r="G54" i="1"/>
  <c r="H63" i="1"/>
  <c r="G63" i="1"/>
  <c r="F63" i="1"/>
  <c r="G49" i="1"/>
  <c r="H49" i="1"/>
  <c r="F49" i="1"/>
  <c r="H39" i="1"/>
  <c r="H40" i="1" s="1"/>
  <c r="F28" i="1"/>
  <c r="H28" i="1"/>
  <c r="G39" i="1"/>
  <c r="G16" i="1"/>
  <c r="G17" i="1" s="1"/>
  <c r="F16" i="1"/>
  <c r="H16" i="1"/>
  <c r="E60" i="1"/>
  <c r="D60" i="1"/>
  <c r="C60" i="1"/>
  <c r="E54" i="1"/>
  <c r="D52" i="1"/>
  <c r="E52" i="1" s="1"/>
  <c r="E16" i="1"/>
  <c r="E17" i="1" s="1"/>
  <c r="D16" i="1"/>
  <c r="C16" i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I39" i="1" l="1"/>
  <c r="J39" i="1"/>
  <c r="J40" i="1" s="1"/>
  <c r="J11" i="1"/>
  <c r="K11" i="1" s="1"/>
  <c r="C17" i="1"/>
  <c r="C42" i="1"/>
  <c r="C44" i="1" s="1"/>
  <c r="C64" i="1" s="1"/>
  <c r="I46" i="1"/>
  <c r="J53" i="1"/>
  <c r="I56" i="1"/>
  <c r="I66" i="1" s="1"/>
  <c r="I59" i="1"/>
  <c r="F60" i="1"/>
  <c r="K12" i="2"/>
  <c r="I16" i="1"/>
  <c r="H42" i="1"/>
  <c r="G42" i="1"/>
  <c r="G44" i="1" s="1"/>
  <c r="G64" i="1" s="1"/>
  <c r="D42" i="1"/>
  <c r="D44" i="1" s="1"/>
  <c r="D64" i="1" s="1"/>
  <c r="F42" i="1"/>
  <c r="F44" i="1" s="1"/>
  <c r="F64" i="1" s="1"/>
  <c r="D46" i="1"/>
  <c r="D66" i="1" s="1"/>
  <c r="D17" i="1"/>
  <c r="H17" i="1"/>
  <c r="F17" i="1"/>
  <c r="C40" i="1"/>
  <c r="E42" i="1"/>
  <c r="E44" i="1" s="1"/>
  <c r="E64" i="1" s="1"/>
  <c r="E40" i="1"/>
  <c r="G40" i="1"/>
  <c r="K56" i="1" l="1"/>
  <c r="K63" i="1"/>
  <c r="K36" i="1"/>
  <c r="K28" i="1"/>
  <c r="K22" i="1"/>
  <c r="K33" i="1"/>
  <c r="K25" i="1"/>
  <c r="K19" i="1"/>
  <c r="K39" i="1" s="1"/>
  <c r="K40" i="1" s="1"/>
  <c r="I42" i="1"/>
  <c r="I40" i="1"/>
  <c r="K53" i="1"/>
  <c r="J56" i="1"/>
  <c r="H46" i="1"/>
  <c r="H66" i="1" s="1"/>
  <c r="I14" i="1"/>
  <c r="I49" i="1"/>
  <c r="I62" i="1" s="1"/>
  <c r="C13" i="2"/>
  <c r="G13" i="2"/>
  <c r="F46" i="1"/>
  <c r="F66" i="1" s="1"/>
  <c r="G46" i="1"/>
  <c r="E46" i="1"/>
  <c r="E66" i="1" s="1"/>
  <c r="C46" i="1"/>
  <c r="C66" i="1" s="1"/>
  <c r="H50" i="1"/>
  <c r="J46" i="1"/>
  <c r="J59" i="1"/>
  <c r="J16" i="1"/>
  <c r="F50" i="1"/>
  <c r="D50" i="1"/>
  <c r="D47" i="1"/>
  <c r="J49" i="1" l="1"/>
  <c r="J62" i="1" s="1"/>
  <c r="F47" i="1"/>
  <c r="I67" i="1"/>
  <c r="H47" i="1"/>
  <c r="G50" i="1"/>
  <c r="G66" i="1"/>
  <c r="K14" i="2"/>
  <c r="J14" i="1"/>
  <c r="K16" i="1"/>
  <c r="K14" i="1" s="1"/>
  <c r="L11" i="1"/>
  <c r="K46" i="1"/>
  <c r="G47" i="1"/>
  <c r="C50" i="1"/>
  <c r="C47" i="1"/>
  <c r="E50" i="1"/>
  <c r="E47" i="1"/>
  <c r="K59" i="1"/>
  <c r="L63" i="1" l="1"/>
  <c r="L28" i="1"/>
  <c r="L22" i="1"/>
  <c r="L19" i="1"/>
  <c r="L33" i="1"/>
  <c r="L36" i="1"/>
  <c r="L25" i="1"/>
  <c r="K49" i="1"/>
  <c r="K62" i="1" s="1"/>
  <c r="L59" i="1"/>
  <c r="L56" i="1"/>
  <c r="L53" i="1"/>
  <c r="J66" i="1"/>
  <c r="J67" i="1" s="1"/>
  <c r="L46" i="1"/>
  <c r="L16" i="1"/>
  <c r="M11" i="1"/>
  <c r="L39" i="1" l="1"/>
  <c r="L40" i="1" s="1"/>
  <c r="M63" i="1"/>
  <c r="M36" i="1"/>
  <c r="M25" i="1"/>
  <c r="M28" i="1"/>
  <c r="M22" i="1"/>
  <c r="M19" i="1"/>
  <c r="M33" i="1"/>
  <c r="L49" i="1"/>
  <c r="L62" i="1" s="1"/>
  <c r="M56" i="1"/>
  <c r="M53" i="1"/>
  <c r="K66" i="1"/>
  <c r="K67" i="1" s="1"/>
  <c r="L14" i="1"/>
  <c r="M46" i="1"/>
  <c r="M16" i="1"/>
  <c r="M14" i="1" s="1"/>
  <c r="N11" i="1"/>
  <c r="M59" i="1"/>
  <c r="M39" i="1" l="1"/>
  <c r="M40" i="1" s="1"/>
  <c r="N63" i="1"/>
  <c r="N28" i="1"/>
  <c r="N22" i="1"/>
  <c r="N19" i="1"/>
  <c r="N33" i="1"/>
  <c r="N36" i="1"/>
  <c r="N25" i="1"/>
  <c r="M49" i="1"/>
  <c r="M62" i="1" s="1"/>
  <c r="N59" i="1"/>
  <c r="N56" i="1"/>
  <c r="N53" i="1"/>
  <c r="L66" i="1"/>
  <c r="L67" i="1" s="1"/>
  <c r="N46" i="1"/>
  <c r="N16" i="1"/>
  <c r="O11" i="1"/>
  <c r="N14" i="1"/>
  <c r="N39" i="1" l="1"/>
  <c r="N40" i="1" s="1"/>
  <c r="O63" i="1"/>
  <c r="O36" i="1"/>
  <c r="O25" i="1"/>
  <c r="O28" i="1"/>
  <c r="O22" i="1"/>
  <c r="O19" i="1"/>
  <c r="O33" i="1"/>
  <c r="N49" i="1"/>
  <c r="N62" i="1" s="1"/>
  <c r="O56" i="1"/>
  <c r="O53" i="1"/>
  <c r="M66" i="1"/>
  <c r="M67" i="1" s="1"/>
  <c r="O16" i="1"/>
  <c r="O14" i="1" s="1"/>
  <c r="P11" i="1"/>
  <c r="O46" i="1"/>
  <c r="O59" i="1"/>
  <c r="O39" i="1" l="1"/>
  <c r="O40" i="1" s="1"/>
  <c r="P63" i="1"/>
  <c r="P28" i="1"/>
  <c r="P22" i="1"/>
  <c r="P19" i="1"/>
  <c r="P33" i="1"/>
  <c r="P36" i="1"/>
  <c r="P25" i="1"/>
  <c r="O49" i="1"/>
  <c r="O62" i="1" s="1"/>
  <c r="O66" i="1" s="1"/>
  <c r="P56" i="1"/>
  <c r="P53" i="1"/>
  <c r="N66" i="1"/>
  <c r="N67" i="1" s="1"/>
  <c r="P46" i="1"/>
  <c r="P16" i="1"/>
  <c r="Q11" i="1"/>
  <c r="P59" i="1"/>
  <c r="P39" i="1" l="1"/>
  <c r="P40" i="1" s="1"/>
  <c r="Q63" i="1"/>
  <c r="Q36" i="1"/>
  <c r="Q25" i="1"/>
  <c r="Q28" i="1"/>
  <c r="Q22" i="1"/>
  <c r="Q19" i="1"/>
  <c r="Q33" i="1"/>
  <c r="P49" i="1"/>
  <c r="P62" i="1" s="1"/>
  <c r="Q56" i="1"/>
  <c r="Q53" i="1"/>
  <c r="O67" i="1"/>
  <c r="P14" i="1"/>
  <c r="Q46" i="1"/>
  <c r="Q16" i="1"/>
  <c r="R11" i="1"/>
  <c r="Q59" i="1"/>
  <c r="Q39" i="1" l="1"/>
  <c r="Q40" i="1" s="1"/>
  <c r="R63" i="1"/>
  <c r="R28" i="1"/>
  <c r="R25" i="1"/>
  <c r="R22" i="1"/>
  <c r="R19" i="1"/>
  <c r="R33" i="1"/>
  <c r="R36" i="1"/>
  <c r="Q49" i="1"/>
  <c r="Q62" i="1" s="1"/>
  <c r="R56" i="1"/>
  <c r="R53" i="1"/>
  <c r="P66" i="1"/>
  <c r="P67" i="1" s="1"/>
  <c r="R46" i="1"/>
  <c r="R16" i="1"/>
  <c r="R14" i="1" s="1"/>
  <c r="R59" i="1"/>
  <c r="Q14" i="1"/>
  <c r="R39" i="1" l="1"/>
  <c r="R40" i="1" s="1"/>
  <c r="R49" i="1"/>
  <c r="R62" i="1" s="1"/>
  <c r="R66" i="1" s="1"/>
  <c r="Q66" i="1"/>
  <c r="Q67" i="1" s="1"/>
  <c r="R67" i="1" l="1"/>
  <c r="C69" i="1"/>
  <c r="C70" i="1" s="1"/>
  <c r="G72" i="1" l="1"/>
  <c r="G74" i="1" s="1"/>
  <c r="G77" i="1" s="1"/>
  <c r="O42" i="1" l="1"/>
  <c r="O44" i="1" s="1"/>
  <c r="O64" i="1" s="1"/>
  <c r="J42" i="1"/>
  <c r="L42" i="1"/>
  <c r="L44" i="1" s="1"/>
  <c r="L64" i="1" s="1"/>
  <c r="K42" i="1"/>
  <c r="M42" i="1"/>
  <c r="M44" i="1" s="1"/>
  <c r="N42" i="1"/>
  <c r="Q42" i="1"/>
  <c r="P42" i="1"/>
  <c r="P44" i="1" s="1"/>
  <c r="R42" i="1"/>
  <c r="R4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K64" i="1" s="1"/>
  <c r="BL64" i="1" s="1"/>
  <c r="BM64" i="1" s="1"/>
  <c r="BN64" i="1" s="1"/>
  <c r="BO64" i="1" s="1"/>
  <c r="BP64" i="1" s="1"/>
  <c r="BQ64" i="1" s="1"/>
  <c r="BR64" i="1" s="1"/>
  <c r="BS64" i="1" s="1"/>
  <c r="BT64" i="1" s="1"/>
  <c r="BU64" i="1" s="1"/>
  <c r="BV64" i="1" s="1"/>
  <c r="BW64" i="1" s="1"/>
  <c r="BX64" i="1" s="1"/>
  <c r="BY64" i="1" s="1"/>
  <c r="BZ64" i="1" s="1"/>
  <c r="CA64" i="1" s="1"/>
  <c r="CB64" i="1" s="1"/>
  <c r="CC64" i="1" s="1"/>
  <c r="CD64" i="1" s="1"/>
  <c r="CE64" i="1" s="1"/>
  <c r="CF64" i="1" s="1"/>
  <c r="CG64" i="1" s="1"/>
  <c r="CH64" i="1" s="1"/>
  <c r="N44" i="1" l="1"/>
  <c r="N64" i="1" s="1"/>
  <c r="Q44" i="1"/>
  <c r="Q64" i="1" s="1"/>
  <c r="J44" i="1"/>
  <c r="J64" i="1" s="1"/>
  <c r="K44" i="1"/>
  <c r="K64" i="1" s="1"/>
  <c r="P64" i="1"/>
  <c r="M64" i="1"/>
  <c r="F69" i="1" l="1"/>
  <c r="H72" i="1" s="1"/>
  <c r="H74" i="1" s="1"/>
  <c r="H77" i="1" s="1"/>
  <c r="D77" i="1" l="1"/>
  <c r="L71" i="1" s="1"/>
  <c r="J6" i="1" l="1"/>
  <c r="N5" i="1" s="1"/>
</calcChain>
</file>

<file path=xl/sharedStrings.xml><?xml version="1.0" encoding="utf-8"?>
<sst xmlns="http://schemas.openxmlformats.org/spreadsheetml/2006/main" count="93" uniqueCount="64">
  <si>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</si>
  <si>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</si>
  <si>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</si>
  <si>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</si>
  <si>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</si>
  <si>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</si>
  <si>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</si>
  <si>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</si>
  <si>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</si>
  <si>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</si>
  <si>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</si>
  <si>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</si>
  <si>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</si>
  <si>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S&amp;M</t>
  </si>
  <si>
    <t>G&amp;A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</si>
  <si>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</si>
  <si>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</si>
  <si>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</si>
  <si>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</si>
  <si>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</si>
  <si>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</si>
  <si>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</si>
  <si>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</si>
  <si>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</si>
  <si>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</si>
  <si>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</si>
  <si>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</si>
  <si>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</si>
  <si>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</si>
  <si>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</si>
  <si>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</si>
  <si>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</si>
  <si>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</si>
  <si>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</si>
  <si>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</si>
  <si>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</si>
  <si>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</si>
  <si>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</si>
  <si>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</si>
  <si>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</si>
  <si>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</si>
  <si>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</si>
  <si>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</si>
  <si>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</si>
  <si>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Alibaba DCF</t>
  </si>
  <si>
    <t>Interest exp</t>
  </si>
  <si>
    <t>Interest inc</t>
  </si>
  <si>
    <t>Other inc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</si>
  <si>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</si>
  <si>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</si>
  <si>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</si>
  <si>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</si>
  <si>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</si>
  <si>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</si>
  <si>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</si>
  <si>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</si>
  <si>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</si>
  <si>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</si>
  <si>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</si>
  <si>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USD/CNY</t>
  </si>
  <si>
    <t>Total interest</t>
  </si>
  <si>
    <t>Cross Rate</t>
  </si>
  <si>
    <t xml:space="preserve">                                             Terminal Growth Rate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</si>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</sst>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64" fontId="3" fillId="2" borderId="0" xfId="1" applyNumberFormat="1" applyFont="1" applyFill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1" fontId="3" fillId="2" borderId="0" xfId="0" applyNumberFormat="1" applyFont="1" applyFill="1" applyBorder="1"/>
    <xf numFmtId="164" fontId="7" fillId="2" borderId="0" xfId="1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2" borderId="0" xfId="0" applyNumberFormat="1" applyFont="1" applyFill="1" applyBorder="1"/>
    <xf numFmtId="3" fontId="3" fillId="8" borderId="0" xfId="0" applyNumberFormat="1" applyFont="1" applyFill="1" applyBorder="1"/>
    <xf numFmtId="164" fontId="3" fillId="2" borderId="0" xfId="0" applyNumberFormat="1" applyFont="1" applyFill="1" applyBorder="1"/>
    <xf numFmtId="164" fontId="8" fillId="2" borderId="0" xfId="1" applyNumberFormat="1" applyFont="1" applyFill="1" applyBorder="1"/>
    <xf numFmtId="10" fontId="8" fillId="2" borderId="0" xfId="0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4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3" fontId="3" fillId="0" borderId="4" xfId="0" applyNumberFormat="1" applyFont="1" applyBorder="1"/>
    <xf numFmtId="1" fontId="3" fillId="2" borderId="13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8"/>
  <sheetViews>
    <sheetView tabSelected="1" workbookViewId="0">
      <selection activeCell="H3" sqref="H3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62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2"/>
      <c r="Q4" s="62"/>
    </row>
    <row r="5" spans="1:86" x14ac:dyDescent="0.25">
      <c r="A5" s="1"/>
      <c r="B5" s="1"/>
      <c r="C5" s="7" t="s">
        <v>1</v>
      </c>
      <c r="D5" s="1"/>
      <c r="E5" s="8">
        <v>8.6999999999999994E-2</v>
      </c>
      <c r="G5" s="1"/>
      <c r="H5" s="1" t="s">
        <v>2</v>
      </c>
      <c r="I5" s="1"/>
      <c r="J5" s="7">
        <v>82.95</v>
      </c>
      <c r="K5" s="1"/>
      <c r="L5" s="1" t="s">
        <v>3</v>
      </c>
      <c r="M5" s="1"/>
      <c r="N5" s="90">
        <f>(J6/J5)-1</f>
        <v>0.43562786130587949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-0.01</v>
      </c>
      <c r="G6" s="1"/>
      <c r="H6" s="1" t="s">
        <v>5</v>
      </c>
      <c r="I6" s="1"/>
      <c r="J6" s="7">
        <f>D77</f>
        <v>119.08533109532272</v>
      </c>
      <c r="K6" s="1"/>
      <c r="L6" s="1" t="s">
        <v>63</v>
      </c>
      <c r="M6" s="1"/>
      <c r="N6" s="89">
        <v>45051</v>
      </c>
      <c r="O6" s="1"/>
      <c r="P6" s="1"/>
      <c r="Q6" s="1"/>
    </row>
    <row r="7" spans="1:86" x14ac:dyDescent="0.25">
      <c r="B7" s="89"/>
      <c r="C7" s="1"/>
      <c r="D7" s="1"/>
      <c r="E7" s="9"/>
      <c r="F7" s="1"/>
      <c r="G7" s="1"/>
      <c r="H7" s="1"/>
      <c r="I7" s="1"/>
      <c r="J7" s="1"/>
      <c r="K7" s="1"/>
      <c r="L7" s="68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3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80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158273</v>
      </c>
      <c r="D11" s="12">
        <v>250266</v>
      </c>
      <c r="E11" s="12">
        <v>376844</v>
      </c>
      <c r="F11" s="12">
        <v>509711</v>
      </c>
      <c r="G11" s="12">
        <v>717289</v>
      </c>
      <c r="H11" s="12">
        <v>853062</v>
      </c>
      <c r="I11" s="22">
        <f>H11*(1+I12)</f>
        <v>885478.35600000003</v>
      </c>
      <c r="J11" s="58">
        <f t="shared" ref="J11:R11" si="1">I11*(1+J12)</f>
        <v>940378.01407200005</v>
      </c>
      <c r="K11" s="58">
        <f t="shared" si="1"/>
        <v>1017489.0112259041</v>
      </c>
      <c r="L11" s="58">
        <f t="shared" si="1"/>
        <v>1100923.1101464282</v>
      </c>
      <c r="M11" s="58">
        <f t="shared" si="1"/>
        <v>1191198.8051784355</v>
      </c>
      <c r="N11" s="58">
        <f t="shared" si="1"/>
        <v>1288877.1072030673</v>
      </c>
      <c r="O11" s="58">
        <f t="shared" si="1"/>
        <v>1394565.029993719</v>
      </c>
      <c r="P11" s="58">
        <f t="shared" si="1"/>
        <v>1508919.3624532041</v>
      </c>
      <c r="Q11" s="58">
        <f t="shared" si="1"/>
        <v>1632650.7501743669</v>
      </c>
      <c r="R11" s="58">
        <f t="shared" si="1"/>
        <v>1766528.1116886651</v>
      </c>
    </row>
    <row r="12" spans="1:86" x14ac:dyDescent="0.25">
      <c r="A12" s="1"/>
      <c r="B12" s="14" t="s">
        <v>8</v>
      </c>
      <c r="C12" s="15"/>
      <c r="D12" s="15">
        <f>(D11/C11)-1</f>
        <v>0.58122990023566867</v>
      </c>
      <c r="E12" s="15">
        <f t="shared" ref="E12:H12" si="2">(E11/D11)-1</f>
        <v>0.50577385661655994</v>
      </c>
      <c r="F12" s="15">
        <f t="shared" si="2"/>
        <v>0.35257825519313024</v>
      </c>
      <c r="G12" s="15">
        <f t="shared" si="2"/>
        <v>0.40724645926809511</v>
      </c>
      <c r="H12" s="15">
        <f t="shared" si="2"/>
        <v>0.18928632671071211</v>
      </c>
      <c r="I12" s="81">
        <v>3.7999999999999999E-2</v>
      </c>
      <c r="J12" s="76">
        <v>6.2E-2</v>
      </c>
      <c r="K12" s="76">
        <v>8.2000000000000003E-2</v>
      </c>
      <c r="L12" s="76">
        <v>8.2000000000000003E-2</v>
      </c>
      <c r="M12" s="76">
        <v>8.2000000000000003E-2</v>
      </c>
      <c r="N12" s="76">
        <v>8.2000000000000003E-2</v>
      </c>
      <c r="O12" s="76">
        <v>8.2000000000000003E-2</v>
      </c>
      <c r="P12" s="76">
        <v>8.2000000000000003E-2</v>
      </c>
      <c r="Q12" s="76">
        <v>8.2000000000000003E-2</v>
      </c>
      <c r="R12" s="76">
        <v>8.2000000000000003E-2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60"/>
      <c r="K13" s="60"/>
      <c r="L13" s="60"/>
      <c r="M13" s="60"/>
      <c r="N13" s="60"/>
      <c r="O13" s="60"/>
      <c r="P13" s="60"/>
      <c r="Q13" s="60"/>
      <c r="R13" s="61"/>
    </row>
    <row r="14" spans="1:86" x14ac:dyDescent="0.25">
      <c r="A14" s="1"/>
      <c r="B14" s="1" t="s">
        <v>9</v>
      </c>
      <c r="C14" s="12">
        <v>59483</v>
      </c>
      <c r="D14" s="12">
        <v>107044</v>
      </c>
      <c r="E14" s="12">
        <v>206929</v>
      </c>
      <c r="F14" s="12">
        <v>282367</v>
      </c>
      <c r="G14" s="12">
        <v>421205</v>
      </c>
      <c r="H14" s="41">
        <v>539450</v>
      </c>
      <c r="I14" s="82">
        <f>I11-I16</f>
        <v>562190.20822440006</v>
      </c>
      <c r="J14" s="79">
        <f t="shared" ref="J14:K14" si="3">J11-J16</f>
        <v>595635.43411320483</v>
      </c>
      <c r="K14" s="79">
        <f t="shared" si="3"/>
        <v>643460.05069926172</v>
      </c>
      <c r="L14" s="79">
        <f t="shared" ref="L14:R14" si="4">L11-L16</f>
        <v>677067.71274005342</v>
      </c>
      <c r="M14" s="79">
        <f t="shared" si="4"/>
        <v>721866.47593813192</v>
      </c>
      <c r="N14" s="79">
        <f t="shared" si="4"/>
        <v>769459.63300023112</v>
      </c>
      <c r="O14" s="79">
        <f t="shared" si="4"/>
        <v>832555.32290625013</v>
      </c>
      <c r="P14" s="79">
        <f t="shared" si="4"/>
        <v>900824.85938456282</v>
      </c>
      <c r="Q14" s="79">
        <f t="shared" si="4"/>
        <v>974692.49785409693</v>
      </c>
      <c r="R14" s="79">
        <f t="shared" si="4"/>
        <v>1054617.2826781329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60"/>
      <c r="K15" s="60"/>
      <c r="L15" s="60"/>
      <c r="M15" s="60"/>
      <c r="N15" s="60"/>
      <c r="O15" s="60"/>
      <c r="P15" s="60"/>
      <c r="Q15" s="60"/>
      <c r="R15" s="61"/>
    </row>
    <row r="16" spans="1:86" x14ac:dyDescent="0.25">
      <c r="A16" s="1"/>
      <c r="B16" s="1" t="s">
        <v>10</v>
      </c>
      <c r="C16" s="12">
        <f t="shared" ref="C16:F16" si="5">C11-C14</f>
        <v>98790</v>
      </c>
      <c r="D16" s="12">
        <f t="shared" si="5"/>
        <v>143222</v>
      </c>
      <c r="E16" s="12">
        <f t="shared" si="5"/>
        <v>169915</v>
      </c>
      <c r="F16" s="12">
        <f t="shared" si="5"/>
        <v>227344</v>
      </c>
      <c r="G16" s="12">
        <f>G11-G14</f>
        <v>296084</v>
      </c>
      <c r="H16" s="12">
        <f>H11-H14</f>
        <v>313612</v>
      </c>
      <c r="I16" s="22">
        <f>I11*I17</f>
        <v>323288.14777559997</v>
      </c>
      <c r="J16" s="58">
        <f t="shared" ref="J16:R16" si="6">J11*J17</f>
        <v>344742.57995879522</v>
      </c>
      <c r="K16" s="58">
        <f t="shared" si="6"/>
        <v>374028.96052664233</v>
      </c>
      <c r="L16" s="58">
        <f t="shared" si="6"/>
        <v>423855.39740637486</v>
      </c>
      <c r="M16" s="58">
        <f t="shared" si="6"/>
        <v>469332.3292403036</v>
      </c>
      <c r="N16" s="58">
        <f t="shared" si="6"/>
        <v>519417.47420283617</v>
      </c>
      <c r="O16" s="58">
        <f t="shared" si="6"/>
        <v>562009.70708746882</v>
      </c>
      <c r="P16" s="58">
        <f t="shared" si="6"/>
        <v>608094.50306864129</v>
      </c>
      <c r="Q16" s="58">
        <f t="shared" si="6"/>
        <v>657958.25232026994</v>
      </c>
      <c r="R16" s="58">
        <f t="shared" si="6"/>
        <v>711910.82901053212</v>
      </c>
    </row>
    <row r="17" spans="1:18" x14ac:dyDescent="0.25">
      <c r="A17" s="1"/>
      <c r="B17" s="14" t="s">
        <v>11</v>
      </c>
      <c r="C17" s="15">
        <f>C16/C11</f>
        <v>0.62417468551174238</v>
      </c>
      <c r="D17" s="15">
        <f t="shared" ref="D17:H17" si="7">D16/D11</f>
        <v>0.57227909504287433</v>
      </c>
      <c r="E17" s="15">
        <f t="shared" si="7"/>
        <v>0.45088949273439405</v>
      </c>
      <c r="F17" s="15">
        <f t="shared" si="7"/>
        <v>0.44602529668773089</v>
      </c>
      <c r="G17" s="15">
        <f t="shared" si="7"/>
        <v>0.41278201673244674</v>
      </c>
      <c r="H17" s="15">
        <f t="shared" si="7"/>
        <v>0.36763095765606718</v>
      </c>
      <c r="I17" s="83">
        <v>0.36509999999999998</v>
      </c>
      <c r="J17" s="77">
        <v>0.36659999999999998</v>
      </c>
      <c r="K17" s="77">
        <v>0.36759999999999998</v>
      </c>
      <c r="L17" s="77">
        <v>0.38500000000000001</v>
      </c>
      <c r="M17" s="77">
        <v>0.39400000000000002</v>
      </c>
      <c r="N17" s="77">
        <v>0.40300000000000002</v>
      </c>
      <c r="O17" s="77">
        <v>0.40300000000000002</v>
      </c>
      <c r="P17" s="77">
        <v>0.40300000000000002</v>
      </c>
      <c r="Q17" s="77">
        <v>0.40300000000000002</v>
      </c>
      <c r="R17" s="77">
        <v>0.40300000000000002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60"/>
      <c r="K18" s="60"/>
      <c r="L18" s="60"/>
      <c r="M18" s="60"/>
      <c r="N18" s="60"/>
      <c r="O18" s="60"/>
      <c r="P18" s="60"/>
      <c r="Q18" s="60"/>
      <c r="R18" s="61"/>
    </row>
    <row r="19" spans="1:18" x14ac:dyDescent="0.25">
      <c r="A19" s="1"/>
      <c r="B19" s="1" t="s">
        <v>12</v>
      </c>
      <c r="C19" s="12">
        <v>17060</v>
      </c>
      <c r="D19" s="12">
        <v>22754</v>
      </c>
      <c r="E19" s="12">
        <v>37435</v>
      </c>
      <c r="F19" s="12">
        <v>43080</v>
      </c>
      <c r="G19" s="12">
        <v>57236</v>
      </c>
      <c r="H19" s="12">
        <v>55465</v>
      </c>
      <c r="I19" s="22">
        <f>I20*I11</f>
        <v>66410.876699999993</v>
      </c>
      <c r="J19" s="58">
        <f t="shared" ref="J19:R19" si="8">J20*J11</f>
        <v>70528.351055399995</v>
      </c>
      <c r="K19" s="58">
        <f t="shared" si="8"/>
        <v>81399.120898072331</v>
      </c>
      <c r="L19" s="58">
        <f t="shared" si="8"/>
        <v>93578.464362446408</v>
      </c>
      <c r="M19" s="58">
        <f t="shared" si="8"/>
        <v>107207.89246605919</v>
      </c>
      <c r="N19" s="58">
        <f t="shared" si="8"/>
        <v>115998.93964827605</v>
      </c>
      <c r="O19" s="58">
        <f t="shared" si="8"/>
        <v>125510.8526994347</v>
      </c>
      <c r="P19" s="58">
        <f t="shared" si="8"/>
        <v>135802.74262078837</v>
      </c>
      <c r="Q19" s="58">
        <f t="shared" si="8"/>
        <v>146938.56751569302</v>
      </c>
      <c r="R19" s="58">
        <f t="shared" si="8"/>
        <v>158987.53005197985</v>
      </c>
    </row>
    <row r="20" spans="1:18" x14ac:dyDescent="0.25">
      <c r="A20" s="1"/>
      <c r="B20" s="14" t="s">
        <v>21</v>
      </c>
      <c r="C20" s="15">
        <f>C19/C11</f>
        <v>0.10778844149033631</v>
      </c>
      <c r="D20" s="15">
        <f t="shared" ref="D20:H20" si="9">D19/D11</f>
        <v>9.0919261905332727E-2</v>
      </c>
      <c r="E20" s="15">
        <f t="shared" si="9"/>
        <v>9.9338187685089854E-2</v>
      </c>
      <c r="F20" s="15">
        <f t="shared" si="9"/>
        <v>8.4518482041784457E-2</v>
      </c>
      <c r="G20" s="15">
        <f t="shared" si="9"/>
        <v>7.9794894387060167E-2</v>
      </c>
      <c r="H20" s="15">
        <f t="shared" si="9"/>
        <v>6.5018720796378229E-2</v>
      </c>
      <c r="I20" s="21">
        <v>7.4999999999999997E-2</v>
      </c>
      <c r="J20" s="59">
        <v>7.4999999999999997E-2</v>
      </c>
      <c r="K20" s="59">
        <v>0.08</v>
      </c>
      <c r="L20" s="59">
        <v>8.5000000000000006E-2</v>
      </c>
      <c r="M20" s="59">
        <v>0.09</v>
      </c>
      <c r="N20" s="59">
        <v>0.09</v>
      </c>
      <c r="O20" s="59">
        <v>0.09</v>
      </c>
      <c r="P20" s="59">
        <v>0.09</v>
      </c>
      <c r="Q20" s="59">
        <v>0.09</v>
      </c>
      <c r="R20" s="59">
        <v>0.09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58"/>
      <c r="K21" s="58"/>
      <c r="L21" s="58"/>
      <c r="M21" s="58"/>
      <c r="N21" s="58"/>
      <c r="O21" s="58"/>
      <c r="P21" s="58"/>
      <c r="Q21" s="58"/>
      <c r="R21" s="58"/>
    </row>
    <row r="22" spans="1:18" x14ac:dyDescent="0.25">
      <c r="A22" s="1"/>
      <c r="B22" s="1" t="s">
        <v>13</v>
      </c>
      <c r="C22" s="12">
        <v>16314</v>
      </c>
      <c r="D22" s="12">
        <v>27299</v>
      </c>
      <c r="E22" s="12">
        <v>39780</v>
      </c>
      <c r="F22" s="12">
        <v>50673</v>
      </c>
      <c r="G22" s="12">
        <v>81519</v>
      </c>
      <c r="H22" s="12">
        <v>119799</v>
      </c>
      <c r="I22" s="22">
        <f>I23*I11</f>
        <v>123966.96984000002</v>
      </c>
      <c r="J22" s="58">
        <f t="shared" ref="J22:R22" si="10">J23*J11</f>
        <v>131652.92197008003</v>
      </c>
      <c r="K22" s="58">
        <f t="shared" si="10"/>
        <v>142448.4615716266</v>
      </c>
      <c r="L22" s="58">
        <f t="shared" si="10"/>
        <v>165138.46652196423</v>
      </c>
      <c r="M22" s="58">
        <f t="shared" si="10"/>
        <v>178679.82077676532</v>
      </c>
      <c r="N22" s="58">
        <f t="shared" si="10"/>
        <v>193331.56608046009</v>
      </c>
      <c r="O22" s="58">
        <f t="shared" si="10"/>
        <v>209184.75449905783</v>
      </c>
      <c r="P22" s="58">
        <f t="shared" si="10"/>
        <v>226337.90436798061</v>
      </c>
      <c r="Q22" s="58">
        <f t="shared" si="10"/>
        <v>244897.61252615502</v>
      </c>
      <c r="R22" s="58">
        <f t="shared" si="10"/>
        <v>264979.21675329976</v>
      </c>
    </row>
    <row r="23" spans="1:18" x14ac:dyDescent="0.25">
      <c r="A23" s="1"/>
      <c r="B23" s="14" t="s">
        <v>21</v>
      </c>
      <c r="C23" s="15">
        <f>C22/C11</f>
        <v>0.10307506649902384</v>
      </c>
      <c r="D23" s="15">
        <f t="shared" ref="D23:H23" si="11">D22/D11</f>
        <v>0.10907993894496255</v>
      </c>
      <c r="E23" s="15">
        <f t="shared" si="11"/>
        <v>0.10556092176072858</v>
      </c>
      <c r="F23" s="15">
        <f t="shared" si="11"/>
        <v>9.9415158786057195E-2</v>
      </c>
      <c r="G23" s="15">
        <f t="shared" si="11"/>
        <v>0.11364875245542591</v>
      </c>
      <c r="H23" s="15">
        <f t="shared" si="11"/>
        <v>0.14043410678239096</v>
      </c>
      <c r="I23" s="21">
        <v>0.14000000000000001</v>
      </c>
      <c r="J23" s="59">
        <v>0.14000000000000001</v>
      </c>
      <c r="K23" s="59">
        <v>0.14000000000000001</v>
      </c>
      <c r="L23" s="59">
        <v>0.15</v>
      </c>
      <c r="M23" s="59">
        <v>0.15</v>
      </c>
      <c r="N23" s="59">
        <v>0.15</v>
      </c>
      <c r="O23" s="59">
        <v>0.15</v>
      </c>
      <c r="P23" s="59">
        <v>0.15</v>
      </c>
      <c r="Q23" s="59">
        <v>0.15</v>
      </c>
      <c r="R23" s="59">
        <v>0.15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58"/>
      <c r="K24" s="58"/>
      <c r="L24" s="58"/>
      <c r="M24" s="58"/>
      <c r="N24" s="58"/>
      <c r="O24" s="58"/>
      <c r="P24" s="58"/>
      <c r="Q24" s="58"/>
      <c r="R24" s="58"/>
    </row>
    <row r="25" spans="1:18" x14ac:dyDescent="0.25">
      <c r="A25" s="1"/>
      <c r="B25" s="1" t="s">
        <v>14</v>
      </c>
      <c r="C25" s="12">
        <v>12239</v>
      </c>
      <c r="D25" s="12">
        <v>16241</v>
      </c>
      <c r="E25" s="12">
        <v>24889</v>
      </c>
      <c r="F25" s="12">
        <v>28197</v>
      </c>
      <c r="G25" s="12">
        <v>55224</v>
      </c>
      <c r="H25" s="12">
        <v>31922</v>
      </c>
      <c r="I25" s="22">
        <f>I26*I11</f>
        <v>48701.309580000001</v>
      </c>
      <c r="J25" s="58">
        <f t="shared" ref="J25:Q25" si="12">J26*J11</f>
        <v>51720.790773960005</v>
      </c>
      <c r="K25" s="58">
        <f t="shared" si="12"/>
        <v>55961.895617424729</v>
      </c>
      <c r="L25" s="58">
        <f t="shared" si="12"/>
        <v>60550.771058053549</v>
      </c>
      <c r="M25" s="58">
        <f t="shared" si="12"/>
        <v>65515.934284813957</v>
      </c>
      <c r="N25" s="58">
        <f t="shared" si="12"/>
        <v>70888.240896168703</v>
      </c>
      <c r="O25" s="58">
        <f t="shared" si="12"/>
        <v>76701.07664965454</v>
      </c>
      <c r="P25" s="58">
        <f t="shared" si="12"/>
        <v>82990.564934926224</v>
      </c>
      <c r="Q25" s="58">
        <f t="shared" si="12"/>
        <v>89795.791259590173</v>
      </c>
      <c r="R25" s="58">
        <f>R26*R11</f>
        <v>97159.046142876585</v>
      </c>
    </row>
    <row r="26" spans="1:18" x14ac:dyDescent="0.25">
      <c r="A26" s="1"/>
      <c r="B26" s="14" t="s">
        <v>21</v>
      </c>
      <c r="C26" s="15">
        <f>C25/C11</f>
        <v>7.7328413563905407E-2</v>
      </c>
      <c r="D26" s="15">
        <f t="shared" ref="D26:H26" si="13">D25/D11</f>
        <v>6.4894951771315323E-2</v>
      </c>
      <c r="E26" s="15">
        <f t="shared" si="13"/>
        <v>6.6045896975936991E-2</v>
      </c>
      <c r="F26" s="15">
        <f t="shared" si="13"/>
        <v>5.5319583057850431E-2</v>
      </c>
      <c r="G26" s="15">
        <f t="shared" si="13"/>
        <v>7.6989888315588284E-2</v>
      </c>
      <c r="H26" s="15">
        <f t="shared" si="13"/>
        <v>3.7420492297160116E-2</v>
      </c>
      <c r="I26" s="21">
        <v>5.5E-2</v>
      </c>
      <c r="J26" s="59">
        <v>5.5E-2</v>
      </c>
      <c r="K26" s="59">
        <v>5.5E-2</v>
      </c>
      <c r="L26" s="59">
        <v>5.5E-2</v>
      </c>
      <c r="M26" s="59">
        <v>5.5E-2</v>
      </c>
      <c r="N26" s="59">
        <v>5.5E-2</v>
      </c>
      <c r="O26" s="59">
        <v>5.5E-2</v>
      </c>
      <c r="P26" s="59">
        <v>5.5E-2</v>
      </c>
      <c r="Q26" s="59">
        <v>5.5E-2</v>
      </c>
      <c r="R26" s="59">
        <v>5.5E-2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22"/>
      <c r="J27" s="58"/>
      <c r="K27" s="58"/>
      <c r="L27" s="58"/>
      <c r="M27" s="58"/>
      <c r="N27" s="58"/>
      <c r="O27" s="58"/>
      <c r="P27" s="58"/>
      <c r="Q27" s="58"/>
      <c r="R27" s="58"/>
    </row>
    <row r="28" spans="1:18" x14ac:dyDescent="0.25">
      <c r="A28" s="1"/>
      <c r="B28" s="1" t="s">
        <v>15</v>
      </c>
      <c r="C28" s="12">
        <v>5122</v>
      </c>
      <c r="D28" s="12">
        <f>7120+494</f>
        <v>7614</v>
      </c>
      <c r="E28" s="12">
        <v>10727</v>
      </c>
      <c r="F28" s="12">
        <f>13338+576</f>
        <v>13914</v>
      </c>
      <c r="G28" s="12">
        <v>12427</v>
      </c>
      <c r="H28" s="12">
        <f>11647+25141</f>
        <v>36788</v>
      </c>
      <c r="I28" s="84">
        <f>I29*I11</f>
        <v>22136.958900000001</v>
      </c>
      <c r="J28" s="73">
        <f t="shared" ref="J28:R28" si="14">J29*J11</f>
        <v>23509.450351800002</v>
      </c>
      <c r="K28" s="73">
        <f t="shared" si="14"/>
        <v>25437.225280647603</v>
      </c>
      <c r="L28" s="73">
        <f t="shared" si="14"/>
        <v>27523.077753660706</v>
      </c>
      <c r="M28" s="73">
        <f t="shared" si="14"/>
        <v>29779.970129460889</v>
      </c>
      <c r="N28" s="73">
        <f t="shared" si="14"/>
        <v>32221.927680076682</v>
      </c>
      <c r="O28" s="73">
        <f t="shared" si="14"/>
        <v>34864.125749842977</v>
      </c>
      <c r="P28" s="73">
        <f t="shared" si="14"/>
        <v>37722.984061330106</v>
      </c>
      <c r="Q28" s="73">
        <f t="shared" si="14"/>
        <v>40816.268754359175</v>
      </c>
      <c r="R28" s="73">
        <f t="shared" si="14"/>
        <v>44163.202792216631</v>
      </c>
    </row>
    <row r="29" spans="1:18" x14ac:dyDescent="0.25">
      <c r="A29" s="1"/>
      <c r="B29" s="14" t="s">
        <v>21</v>
      </c>
      <c r="C29" s="15">
        <f>C28/C11</f>
        <v>3.2361805235258063E-2</v>
      </c>
      <c r="D29" s="15">
        <f t="shared" ref="D29:H29" si="15">D28/D11</f>
        <v>3.042362925846899E-2</v>
      </c>
      <c r="E29" s="15">
        <f t="shared" si="15"/>
        <v>2.8465359671375954E-2</v>
      </c>
      <c r="F29" s="15">
        <f t="shared" si="15"/>
        <v>2.7297821706810329E-2</v>
      </c>
      <c r="G29" s="15">
        <f t="shared" si="15"/>
        <v>1.7324955492137757E-2</v>
      </c>
      <c r="H29" s="15">
        <f t="shared" si="15"/>
        <v>4.3124649790988227E-2</v>
      </c>
      <c r="I29" s="21">
        <v>2.5000000000000001E-2</v>
      </c>
      <c r="J29" s="59">
        <v>2.5000000000000001E-2</v>
      </c>
      <c r="K29" s="59">
        <v>2.5000000000000001E-2</v>
      </c>
      <c r="L29" s="59">
        <v>2.5000000000000001E-2</v>
      </c>
      <c r="M29" s="59">
        <v>2.5000000000000001E-2</v>
      </c>
      <c r="N29" s="59">
        <v>2.5000000000000001E-2</v>
      </c>
      <c r="O29" s="59">
        <v>2.5000000000000001E-2</v>
      </c>
      <c r="P29" s="59">
        <v>2.5000000000000001E-2</v>
      </c>
      <c r="Q29" s="59">
        <v>2.5000000000000001E-2</v>
      </c>
      <c r="R29" s="59">
        <v>2.5000000000000001E-2</v>
      </c>
    </row>
    <row r="30" spans="1:18" x14ac:dyDescent="0.25">
      <c r="A30" s="1"/>
      <c r="B30" s="14"/>
      <c r="C30" s="12"/>
      <c r="D30" s="12"/>
      <c r="E30" s="12"/>
      <c r="F30" s="12"/>
      <c r="G30" s="12"/>
      <c r="H30" s="12"/>
      <c r="I30" s="84"/>
      <c r="J30" s="73"/>
      <c r="K30" s="73"/>
      <c r="L30" s="73"/>
      <c r="M30" s="73"/>
      <c r="N30" s="73"/>
      <c r="O30" s="73"/>
      <c r="P30" s="73"/>
      <c r="Q30" s="73"/>
      <c r="R30" s="73"/>
    </row>
    <row r="31" spans="1:18" x14ac:dyDescent="0.25">
      <c r="A31" s="1"/>
      <c r="B31" s="1" t="s">
        <v>46</v>
      </c>
      <c r="C31" s="12">
        <v>8559</v>
      </c>
      <c r="D31" s="12">
        <v>30495</v>
      </c>
      <c r="E31" s="12">
        <v>44106</v>
      </c>
      <c r="F31" s="12">
        <v>72956</v>
      </c>
      <c r="G31" s="12">
        <v>72794</v>
      </c>
      <c r="H31" s="12">
        <v>-15702</v>
      </c>
      <c r="I31" s="84"/>
      <c r="J31" s="73"/>
      <c r="K31" s="73"/>
      <c r="L31" s="73"/>
      <c r="M31" s="73"/>
      <c r="N31" s="73"/>
      <c r="O31" s="73"/>
      <c r="P31" s="73"/>
      <c r="Q31" s="73"/>
      <c r="R31" s="73"/>
    </row>
    <row r="32" spans="1:18" x14ac:dyDescent="0.25">
      <c r="A32" s="1"/>
      <c r="B32" s="1" t="s">
        <v>45</v>
      </c>
      <c r="C32" s="12">
        <v>-2671</v>
      </c>
      <c r="D32" s="12">
        <v>-3566</v>
      </c>
      <c r="E32" s="12">
        <v>-5190</v>
      </c>
      <c r="F32" s="12">
        <v>-5180</v>
      </c>
      <c r="G32" s="12">
        <v>-4476</v>
      </c>
      <c r="H32" s="12">
        <v>-4909</v>
      </c>
      <c r="I32" s="84"/>
      <c r="J32" s="73"/>
      <c r="K32" s="73"/>
      <c r="L32" s="73"/>
      <c r="M32" s="73"/>
      <c r="N32" s="73"/>
      <c r="O32" s="73"/>
      <c r="P32" s="73"/>
      <c r="Q32" s="73"/>
      <c r="R32" s="73"/>
    </row>
    <row r="33" spans="1:18" x14ac:dyDescent="0.25">
      <c r="A33" s="1"/>
      <c r="B33" s="1" t="s">
        <v>60</v>
      </c>
      <c r="C33" s="12">
        <f>C31+C32</f>
        <v>5888</v>
      </c>
      <c r="D33" s="12">
        <f t="shared" ref="D33:H33" si="16">D31+D32</f>
        <v>26929</v>
      </c>
      <c r="E33" s="12">
        <f t="shared" si="16"/>
        <v>38916</v>
      </c>
      <c r="F33" s="12">
        <f t="shared" si="16"/>
        <v>67776</v>
      </c>
      <c r="G33" s="12">
        <f t="shared" si="16"/>
        <v>68318</v>
      </c>
      <c r="H33" s="12">
        <f t="shared" si="16"/>
        <v>-20611</v>
      </c>
      <c r="I33" s="84">
        <f>I34*I11</f>
        <v>30991.742460000005</v>
      </c>
      <c r="J33" s="73">
        <f t="shared" ref="J33:R33" si="17">J34*J11</f>
        <v>51720.790773960005</v>
      </c>
      <c r="K33" s="73">
        <f t="shared" si="17"/>
        <v>55961.895617424729</v>
      </c>
      <c r="L33" s="73">
        <f t="shared" si="17"/>
        <v>60550.771058053549</v>
      </c>
      <c r="M33" s="73">
        <f t="shared" si="17"/>
        <v>65515.934284813957</v>
      </c>
      <c r="N33" s="73">
        <f t="shared" si="17"/>
        <v>96665.783040230046</v>
      </c>
      <c r="O33" s="73">
        <f t="shared" si="17"/>
        <v>104592.37724952892</v>
      </c>
      <c r="P33" s="73">
        <f t="shared" si="17"/>
        <v>113168.9521839903</v>
      </c>
      <c r="Q33" s="73">
        <f t="shared" si="17"/>
        <v>122448.80626307751</v>
      </c>
      <c r="R33" s="73">
        <f t="shared" si="17"/>
        <v>132489.60837664988</v>
      </c>
    </row>
    <row r="34" spans="1:18" x14ac:dyDescent="0.25">
      <c r="A34" s="1"/>
      <c r="B34" s="14" t="s">
        <v>21</v>
      </c>
      <c r="C34" s="15">
        <f>C33/C11</f>
        <v>3.7201544167356403E-2</v>
      </c>
      <c r="D34" s="15">
        <f t="shared" ref="D34:H34" si="18">D33/D11</f>
        <v>0.10760151199124132</v>
      </c>
      <c r="E34" s="15">
        <f t="shared" si="18"/>
        <v>0.10326819585823312</v>
      </c>
      <c r="F34" s="15">
        <f t="shared" si="18"/>
        <v>0.13296946701169879</v>
      </c>
      <c r="G34" s="15">
        <f t="shared" si="18"/>
        <v>9.524473399145951E-2</v>
      </c>
      <c r="H34" s="15">
        <f t="shared" si="18"/>
        <v>-2.4161198130968207E-2</v>
      </c>
      <c r="I34" s="21">
        <v>3.5000000000000003E-2</v>
      </c>
      <c r="J34" s="59">
        <v>5.5E-2</v>
      </c>
      <c r="K34" s="59">
        <v>5.5E-2</v>
      </c>
      <c r="L34" s="59">
        <v>5.5E-2</v>
      </c>
      <c r="M34" s="59">
        <v>5.5E-2</v>
      </c>
      <c r="N34" s="59">
        <v>7.4999999999999997E-2</v>
      </c>
      <c r="O34" s="59">
        <v>7.4999999999999997E-2</v>
      </c>
      <c r="P34" s="59">
        <v>7.4999999999999997E-2</v>
      </c>
      <c r="Q34" s="59">
        <v>7.4999999999999997E-2</v>
      </c>
      <c r="R34" s="59">
        <v>7.4999999999999997E-2</v>
      </c>
    </row>
    <row r="35" spans="1:18" x14ac:dyDescent="0.25">
      <c r="A35" s="1"/>
      <c r="B35" s="1"/>
      <c r="C35" s="12"/>
      <c r="D35" s="12"/>
      <c r="E35" s="12"/>
      <c r="F35" s="12"/>
      <c r="G35" s="12"/>
      <c r="H35" s="12"/>
      <c r="I35" s="84"/>
      <c r="J35" s="73"/>
      <c r="K35" s="73"/>
      <c r="L35" s="73"/>
      <c r="M35" s="73"/>
      <c r="N35" s="73"/>
      <c r="O35" s="73"/>
      <c r="P35" s="73"/>
      <c r="Q35" s="73"/>
      <c r="R35" s="73"/>
    </row>
    <row r="36" spans="1:18" x14ac:dyDescent="0.25">
      <c r="A36" s="1"/>
      <c r="B36" s="1" t="s">
        <v>18</v>
      </c>
      <c r="C36" s="12">
        <v>6086</v>
      </c>
      <c r="D36" s="12">
        <v>4160</v>
      </c>
      <c r="E36" s="12">
        <v>221</v>
      </c>
      <c r="F36" s="12">
        <v>7439</v>
      </c>
      <c r="G36" s="12">
        <v>7582</v>
      </c>
      <c r="H36" s="12">
        <v>10523</v>
      </c>
      <c r="I36" s="84">
        <f>I37*I11</f>
        <v>8854.7835599999999</v>
      </c>
      <c r="J36" s="73">
        <f t="shared" ref="J36:R36" si="19">J37*J11</f>
        <v>9403.7801407200004</v>
      </c>
      <c r="K36" s="73">
        <f t="shared" si="19"/>
        <v>10174.890112259041</v>
      </c>
      <c r="L36" s="73">
        <f t="shared" si="19"/>
        <v>11009.231101464282</v>
      </c>
      <c r="M36" s="73">
        <f t="shared" si="19"/>
        <v>11911.988051784356</v>
      </c>
      <c r="N36" s="73">
        <f t="shared" si="19"/>
        <v>12888.771072030673</v>
      </c>
      <c r="O36" s="73">
        <f t="shared" si="19"/>
        <v>13945.65029993719</v>
      </c>
      <c r="P36" s="73">
        <f t="shared" si="19"/>
        <v>15089.193624532041</v>
      </c>
      <c r="Q36" s="73">
        <f t="shared" si="19"/>
        <v>16326.507501743668</v>
      </c>
      <c r="R36" s="73">
        <f t="shared" si="19"/>
        <v>17665.28111688665</v>
      </c>
    </row>
    <row r="37" spans="1:18" x14ac:dyDescent="0.25">
      <c r="A37" s="1"/>
      <c r="B37" s="14" t="s">
        <v>21</v>
      </c>
      <c r="C37" s="15">
        <f>C36/C11</f>
        <v>3.8452547181136394E-2</v>
      </c>
      <c r="D37" s="15">
        <f t="shared" ref="D37:H37" si="20">D36/D11</f>
        <v>1.6622313858055029E-2</v>
      </c>
      <c r="E37" s="15">
        <f t="shared" si="20"/>
        <v>5.8644956533738103E-4</v>
      </c>
      <c r="F37" s="15">
        <f t="shared" si="20"/>
        <v>1.4594544751829959E-2</v>
      </c>
      <c r="G37" s="15">
        <f t="shared" si="20"/>
        <v>1.0570355881659972E-2</v>
      </c>
      <c r="H37" s="15">
        <f t="shared" si="20"/>
        <v>1.2335562948531291E-2</v>
      </c>
      <c r="I37" s="21">
        <v>0.01</v>
      </c>
      <c r="J37" s="59">
        <v>0.01</v>
      </c>
      <c r="K37" s="59">
        <v>0.01</v>
      </c>
      <c r="L37" s="59">
        <v>0.01</v>
      </c>
      <c r="M37" s="59">
        <v>0.01</v>
      </c>
      <c r="N37" s="59">
        <v>0.01</v>
      </c>
      <c r="O37" s="59">
        <v>0.01</v>
      </c>
      <c r="P37" s="59">
        <v>0.01</v>
      </c>
      <c r="Q37" s="59">
        <v>0.01</v>
      </c>
      <c r="R37" s="59">
        <v>0.01</v>
      </c>
    </row>
    <row r="38" spans="1:18" x14ac:dyDescent="0.25">
      <c r="A38" s="1"/>
      <c r="B38" s="1"/>
      <c r="C38" s="1"/>
      <c r="D38" s="1"/>
      <c r="E38" s="1"/>
      <c r="F38" s="12"/>
      <c r="G38" s="12"/>
      <c r="H38" s="12"/>
      <c r="I38" s="13"/>
      <c r="J38" s="60"/>
      <c r="K38" s="60"/>
      <c r="L38" s="60"/>
      <c r="M38" s="60"/>
      <c r="N38" s="60"/>
      <c r="O38" s="60"/>
      <c r="P38" s="60"/>
      <c r="Q38" s="60"/>
      <c r="R38" s="61"/>
    </row>
    <row r="39" spans="1:18" x14ac:dyDescent="0.25">
      <c r="A39" s="1"/>
      <c r="B39" s="1" t="s">
        <v>16</v>
      </c>
      <c r="C39" s="12">
        <f>C19+C22+C25</f>
        <v>45613</v>
      </c>
      <c r="D39" s="12">
        <f>D19+D22+D25</f>
        <v>66294</v>
      </c>
      <c r="E39" s="12">
        <f>E19+E22+E25</f>
        <v>102104</v>
      </c>
      <c r="F39" s="12">
        <f>F19+F22+F25</f>
        <v>121950</v>
      </c>
      <c r="G39" s="12">
        <f t="shared" ref="G39" si="21">G19+G22+G25</f>
        <v>193979</v>
      </c>
      <c r="H39" s="12">
        <f>H19+H22+H25</f>
        <v>207186</v>
      </c>
      <c r="I39" s="84">
        <f>I19+I22+I25</f>
        <v>239079.15612</v>
      </c>
      <c r="J39" s="73">
        <f t="shared" ref="I39:R39" si="22">J19+J22+J25</f>
        <v>253902.06379944005</v>
      </c>
      <c r="K39" s="73">
        <f t="shared" si="22"/>
        <v>279809.47808712366</v>
      </c>
      <c r="L39" s="73">
        <f t="shared" si="22"/>
        <v>319267.70194246416</v>
      </c>
      <c r="M39" s="73">
        <f t="shared" si="22"/>
        <v>351403.64752763847</v>
      </c>
      <c r="N39" s="73">
        <f t="shared" si="22"/>
        <v>380218.74662490486</v>
      </c>
      <c r="O39" s="73">
        <f t="shared" si="22"/>
        <v>411396.68384814705</v>
      </c>
      <c r="P39" s="73">
        <f t="shared" si="22"/>
        <v>445131.21192369517</v>
      </c>
      <c r="Q39" s="73">
        <f t="shared" si="22"/>
        <v>481631.97130143823</v>
      </c>
      <c r="R39" s="73">
        <f t="shared" si="22"/>
        <v>521125.79294815625</v>
      </c>
    </row>
    <row r="40" spans="1:18" x14ac:dyDescent="0.25">
      <c r="A40" s="1"/>
      <c r="B40" s="14" t="s">
        <v>21</v>
      </c>
      <c r="C40" s="15">
        <f t="shared" ref="C40:G40" si="23">C39/C11</f>
        <v>0.28819192155326556</v>
      </c>
      <c r="D40" s="15">
        <f t="shared" si="23"/>
        <v>0.26489415262161059</v>
      </c>
      <c r="E40" s="15">
        <f t="shared" si="23"/>
        <v>0.2709450064217554</v>
      </c>
      <c r="F40" s="15">
        <f t="shared" si="23"/>
        <v>0.23925322388569209</v>
      </c>
      <c r="G40" s="15">
        <f t="shared" si="23"/>
        <v>0.27043353515807433</v>
      </c>
      <c r="H40" s="15">
        <f>H39/H11</f>
        <v>0.24287331987592931</v>
      </c>
      <c r="I40" s="20">
        <f>I39/I11</f>
        <v>0.27</v>
      </c>
      <c r="J40" s="78">
        <f t="shared" ref="J40:R40" si="24">J39/J11</f>
        <v>0.27</v>
      </c>
      <c r="K40" s="78">
        <f t="shared" si="24"/>
        <v>0.27500000000000002</v>
      </c>
      <c r="L40" s="78">
        <f t="shared" si="24"/>
        <v>0.28999999999999998</v>
      </c>
      <c r="M40" s="78">
        <f t="shared" si="24"/>
        <v>0.29499999999999998</v>
      </c>
      <c r="N40" s="78">
        <f t="shared" si="24"/>
        <v>0.29499999999999998</v>
      </c>
      <c r="O40" s="78">
        <f t="shared" si="24"/>
        <v>0.29499999999999998</v>
      </c>
      <c r="P40" s="78">
        <f t="shared" si="24"/>
        <v>0.29499999999999998</v>
      </c>
      <c r="Q40" s="78">
        <f t="shared" si="24"/>
        <v>0.29499999999999998</v>
      </c>
      <c r="R40" s="78">
        <f t="shared" si="24"/>
        <v>0.29500000000000004</v>
      </c>
    </row>
    <row r="41" spans="1:18" x14ac:dyDescent="0.25">
      <c r="A41" s="1"/>
      <c r="B41" s="1"/>
      <c r="C41" s="15"/>
      <c r="D41" s="15"/>
      <c r="E41" s="15"/>
      <c r="F41" s="15"/>
      <c r="G41" s="15"/>
      <c r="H41" s="15"/>
      <c r="I41" s="21"/>
      <c r="J41" s="59"/>
      <c r="K41" s="59"/>
      <c r="L41" s="59"/>
      <c r="M41" s="59"/>
      <c r="N41" s="59"/>
      <c r="O41" s="59"/>
      <c r="P41" s="59"/>
      <c r="Q41" s="59"/>
      <c r="R41" s="59"/>
    </row>
    <row r="42" spans="1:18" x14ac:dyDescent="0.25">
      <c r="A42" s="1"/>
      <c r="B42" s="1" t="s">
        <v>17</v>
      </c>
      <c r="C42" s="12">
        <f>C16-C39</f>
        <v>53177</v>
      </c>
      <c r="D42" s="12">
        <f t="shared" ref="D42:F42" si="25">D16-D39</f>
        <v>76928</v>
      </c>
      <c r="E42" s="12">
        <f t="shared" si="25"/>
        <v>67811</v>
      </c>
      <c r="F42" s="12">
        <f t="shared" si="25"/>
        <v>105394</v>
      </c>
      <c r="G42" s="12">
        <f>G16-G39</f>
        <v>102105</v>
      </c>
      <c r="H42" s="12">
        <f>H16-H39</f>
        <v>106426</v>
      </c>
      <c r="I42" s="84">
        <f>I16-I39</f>
        <v>84208.991655599966</v>
      </c>
      <c r="J42" s="58">
        <f t="shared" ref="J42:R42" si="26">J16-J39</f>
        <v>90840.516159355175</v>
      </c>
      <c r="K42" s="58">
        <f t="shared" si="26"/>
        <v>94219.482439518673</v>
      </c>
      <c r="L42" s="58">
        <f t="shared" si="26"/>
        <v>104587.6954639107</v>
      </c>
      <c r="M42" s="58">
        <f t="shared" si="26"/>
        <v>117928.68171266513</v>
      </c>
      <c r="N42" s="58">
        <f t="shared" si="26"/>
        <v>139198.72757793131</v>
      </c>
      <c r="O42" s="58">
        <f t="shared" si="26"/>
        <v>150613.02323932177</v>
      </c>
      <c r="P42" s="58">
        <f t="shared" si="26"/>
        <v>162963.29114494612</v>
      </c>
      <c r="Q42" s="58">
        <f t="shared" si="26"/>
        <v>176326.28101883171</v>
      </c>
      <c r="R42" s="58">
        <f t="shared" si="26"/>
        <v>190785.03606237588</v>
      </c>
    </row>
    <row r="43" spans="1:18" x14ac:dyDescent="0.25">
      <c r="A43" s="1"/>
      <c r="B43" s="1"/>
      <c r="C43" s="24"/>
      <c r="D43" s="24"/>
      <c r="E43" s="24"/>
      <c r="F43" s="24"/>
      <c r="G43" s="24"/>
      <c r="H43" s="24"/>
      <c r="I43" s="25"/>
      <c r="J43" s="61"/>
      <c r="K43" s="61"/>
      <c r="L43" s="61"/>
      <c r="M43" s="61"/>
      <c r="N43" s="61"/>
      <c r="O43" s="61"/>
      <c r="P43" s="61"/>
      <c r="Q43" s="61"/>
      <c r="R43" s="61"/>
    </row>
    <row r="44" spans="1:18" x14ac:dyDescent="0.25">
      <c r="A44" s="1"/>
      <c r="B44" s="1" t="s">
        <v>19</v>
      </c>
      <c r="C44" s="12">
        <f t="shared" ref="C44:G44" si="27">C42-C28+C31+C32+C36</f>
        <v>60029</v>
      </c>
      <c r="D44" s="12">
        <f t="shared" si="27"/>
        <v>100403</v>
      </c>
      <c r="E44" s="12">
        <f t="shared" si="27"/>
        <v>96221</v>
      </c>
      <c r="F44" s="12">
        <f t="shared" si="27"/>
        <v>166695</v>
      </c>
      <c r="G44" s="12">
        <f t="shared" si="27"/>
        <v>165578</v>
      </c>
      <c r="H44" s="12">
        <f>H42-H28+H31+H32+H36</f>
        <v>59550</v>
      </c>
      <c r="I44" s="84">
        <f>I42-I28+I31+I32+I36+I33</f>
        <v>101918.55877559997</v>
      </c>
      <c r="J44" s="73">
        <f t="shared" ref="J44:R44" si="28">J42-J28+J31+J32+J36+J33</f>
        <v>128455.63672223518</v>
      </c>
      <c r="K44" s="73">
        <f t="shared" si="28"/>
        <v>134919.04288855486</v>
      </c>
      <c r="L44" s="73">
        <f t="shared" si="28"/>
        <v>148624.6198697678</v>
      </c>
      <c r="M44" s="73">
        <f t="shared" si="28"/>
        <v>165576.63391980255</v>
      </c>
      <c r="N44" s="73">
        <f t="shared" si="28"/>
        <v>216531.35401011535</v>
      </c>
      <c r="O44" s="73">
        <f t="shared" si="28"/>
        <v>234286.9250389449</v>
      </c>
      <c r="P44" s="73">
        <f t="shared" si="28"/>
        <v>253498.45289213836</v>
      </c>
      <c r="Q44" s="73">
        <f t="shared" si="28"/>
        <v>274285.3260292937</v>
      </c>
      <c r="R44" s="73">
        <f t="shared" si="28"/>
        <v>296776.72276369575</v>
      </c>
    </row>
    <row r="45" spans="1:18" x14ac:dyDescent="0.25">
      <c r="A45" s="1"/>
      <c r="B45" s="1"/>
      <c r="C45" s="24"/>
      <c r="D45" s="24"/>
      <c r="E45" s="24"/>
      <c r="F45" s="24"/>
      <c r="G45" s="24"/>
      <c r="H45" s="24"/>
      <c r="I45" s="13"/>
      <c r="J45" s="60"/>
      <c r="K45" s="60"/>
      <c r="L45" s="60"/>
      <c r="M45" s="60"/>
      <c r="N45" s="60"/>
      <c r="O45" s="60"/>
      <c r="P45" s="60"/>
      <c r="Q45" s="60"/>
      <c r="R45" s="61"/>
    </row>
    <row r="46" spans="1:18" x14ac:dyDescent="0.25">
      <c r="A46" s="1"/>
      <c r="B46" s="1" t="s">
        <v>20</v>
      </c>
      <c r="C46" s="12">
        <f t="shared" ref="C46:H46" si="29">C42</f>
        <v>53177</v>
      </c>
      <c r="D46" s="12">
        <f t="shared" si="29"/>
        <v>76928</v>
      </c>
      <c r="E46" s="12">
        <f t="shared" si="29"/>
        <v>67811</v>
      </c>
      <c r="F46" s="12">
        <f t="shared" si="29"/>
        <v>105394</v>
      </c>
      <c r="G46" s="12">
        <f t="shared" si="29"/>
        <v>102105</v>
      </c>
      <c r="H46" s="12">
        <f t="shared" si="29"/>
        <v>106426</v>
      </c>
      <c r="I46" s="13">
        <f t="shared" ref="I46:R46" si="30">I47*I11</f>
        <v>110684.7945</v>
      </c>
      <c r="J46" s="60">
        <f t="shared" si="30"/>
        <v>122249.14182936001</v>
      </c>
      <c r="K46" s="60">
        <f t="shared" si="30"/>
        <v>142448.4615716266</v>
      </c>
      <c r="L46" s="60">
        <f t="shared" si="30"/>
        <v>198166.15982635706</v>
      </c>
      <c r="M46" s="60">
        <f t="shared" si="30"/>
        <v>214415.78493211837</v>
      </c>
      <c r="N46" s="60">
        <f t="shared" si="30"/>
        <v>257775.42144061346</v>
      </c>
      <c r="O46" s="60">
        <f t="shared" si="30"/>
        <v>278913.00599874381</v>
      </c>
      <c r="P46" s="60">
        <f t="shared" si="30"/>
        <v>301783.87249064085</v>
      </c>
      <c r="Q46" s="60">
        <f t="shared" si="30"/>
        <v>326530.1500348734</v>
      </c>
      <c r="R46" s="60">
        <f t="shared" si="30"/>
        <v>353305.62233773305</v>
      </c>
    </row>
    <row r="47" spans="1:18" x14ac:dyDescent="0.25">
      <c r="A47" s="1"/>
      <c r="B47" s="14" t="s">
        <v>21</v>
      </c>
      <c r="C47" s="15">
        <f t="shared" ref="C47:H47" si="31">C46/C11</f>
        <v>0.33598276395847682</v>
      </c>
      <c r="D47" s="15">
        <f t="shared" si="31"/>
        <v>0.3073849424212638</v>
      </c>
      <c r="E47" s="15">
        <f t="shared" si="31"/>
        <v>0.17994448631263865</v>
      </c>
      <c r="F47" s="15">
        <f t="shared" si="31"/>
        <v>0.2067720728020388</v>
      </c>
      <c r="G47" s="15">
        <f t="shared" si="31"/>
        <v>0.14234848157437238</v>
      </c>
      <c r="H47" s="15">
        <f t="shared" si="31"/>
        <v>0.1247576377801379</v>
      </c>
      <c r="I47" s="81">
        <v>0.125</v>
      </c>
      <c r="J47" s="76">
        <v>0.13</v>
      </c>
      <c r="K47" s="76">
        <v>0.14000000000000001</v>
      </c>
      <c r="L47" s="76">
        <v>0.18</v>
      </c>
      <c r="M47" s="76">
        <v>0.18</v>
      </c>
      <c r="N47" s="76">
        <v>0.2</v>
      </c>
      <c r="O47" s="76">
        <v>0.2</v>
      </c>
      <c r="P47" s="76">
        <v>0.2</v>
      </c>
      <c r="Q47" s="76">
        <v>0.2</v>
      </c>
      <c r="R47" s="76">
        <v>0.2</v>
      </c>
    </row>
    <row r="48" spans="1:18" x14ac:dyDescent="0.25">
      <c r="A48" s="1"/>
      <c r="B48" s="14"/>
      <c r="C48" s="1"/>
      <c r="D48" s="1"/>
      <c r="F48" s="1"/>
      <c r="G48" s="1"/>
      <c r="H48" s="1"/>
      <c r="I48" s="13"/>
      <c r="J48" s="60"/>
      <c r="K48" s="60"/>
      <c r="L48" s="60"/>
      <c r="M48" s="60"/>
      <c r="N48" s="60"/>
      <c r="O48" s="61"/>
      <c r="P48" s="61"/>
      <c r="Q48" s="61"/>
      <c r="R48" s="61"/>
    </row>
    <row r="49" spans="1:86" x14ac:dyDescent="0.25">
      <c r="A49" s="1"/>
      <c r="B49" s="1" t="s">
        <v>22</v>
      </c>
      <c r="C49" s="12">
        <f>-13776-5027</f>
        <v>-18803</v>
      </c>
      <c r="D49" s="12">
        <f>-18199-20792</f>
        <v>-38991</v>
      </c>
      <c r="E49" s="26">
        <f>-16553+566</f>
        <v>-15987</v>
      </c>
      <c r="F49" s="12">
        <f>-20562-5733</f>
        <v>-26295</v>
      </c>
      <c r="G49" s="12">
        <f>-29278+6948</f>
        <v>-22330</v>
      </c>
      <c r="H49" s="19">
        <f>-26815+14344</f>
        <v>-12471</v>
      </c>
      <c r="I49" s="22">
        <f>I50*I46</f>
        <v>-26564.35068</v>
      </c>
      <c r="J49" s="58">
        <f t="shared" ref="J49:R49" si="32">J50*J46</f>
        <v>-29339.794039046403</v>
      </c>
      <c r="K49" s="58">
        <f t="shared" si="32"/>
        <v>-34187.630777190381</v>
      </c>
      <c r="L49" s="58">
        <f t="shared" si="32"/>
        <v>-47559.878358325695</v>
      </c>
      <c r="M49" s="58">
        <f t="shared" si="32"/>
        <v>-51459.788383708408</v>
      </c>
      <c r="N49" s="58">
        <f t="shared" si="32"/>
        <v>-61866.101145747227</v>
      </c>
      <c r="O49" s="58">
        <f t="shared" si="32"/>
        <v>-66939.121439698516</v>
      </c>
      <c r="P49" s="58">
        <f t="shared" si="32"/>
        <v>-72428.129397753801</v>
      </c>
      <c r="Q49" s="58">
        <f t="shared" si="32"/>
        <v>-78367.236008369611</v>
      </c>
      <c r="R49" s="58">
        <f t="shared" si="32"/>
        <v>-84793.349361055924</v>
      </c>
    </row>
    <row r="50" spans="1:86" x14ac:dyDescent="0.25">
      <c r="A50" s="1"/>
      <c r="B50" s="14" t="s">
        <v>23</v>
      </c>
      <c r="C50" s="23">
        <f>C49/C46</f>
        <v>-0.35359271865656206</v>
      </c>
      <c r="D50" s="23">
        <f t="shared" ref="D50:F50" si="33">D49/D46</f>
        <v>-0.50685056156405994</v>
      </c>
      <c r="E50" s="23">
        <f t="shared" si="33"/>
        <v>-0.23575821031985961</v>
      </c>
      <c r="F50" s="23">
        <f t="shared" si="33"/>
        <v>-0.24949238097045373</v>
      </c>
      <c r="G50" s="23">
        <f>F49/G46</f>
        <v>-0.25752901425003671</v>
      </c>
      <c r="H50" s="23">
        <f>G49/H46</f>
        <v>-0.20981714994456241</v>
      </c>
      <c r="I50" s="83">
        <v>-0.24</v>
      </c>
      <c r="J50" s="77">
        <v>-0.24</v>
      </c>
      <c r="K50" s="77">
        <v>-0.24</v>
      </c>
      <c r="L50" s="77">
        <v>-0.24</v>
      </c>
      <c r="M50" s="77">
        <v>-0.24</v>
      </c>
      <c r="N50" s="77">
        <v>-0.24</v>
      </c>
      <c r="O50" s="77">
        <v>-0.24</v>
      </c>
      <c r="P50" s="77">
        <v>-0.24</v>
      </c>
      <c r="Q50" s="77">
        <v>-0.24</v>
      </c>
      <c r="R50" s="77">
        <v>-0.24</v>
      </c>
    </row>
    <row r="51" spans="1:86" x14ac:dyDescent="0.25">
      <c r="A51" s="1"/>
      <c r="B51" s="1"/>
      <c r="C51" s="1"/>
      <c r="D51" s="1"/>
      <c r="E51" s="1"/>
      <c r="F51" s="1"/>
      <c r="G51" s="1"/>
      <c r="H51" s="1"/>
      <c r="I51" s="13"/>
      <c r="J51" s="1"/>
      <c r="K51" s="1"/>
      <c r="L51" s="1"/>
      <c r="M51" s="1"/>
      <c r="N51" s="1"/>
      <c r="O51" s="1"/>
      <c r="P51" s="1"/>
      <c r="Q51" s="1"/>
    </row>
    <row r="52" spans="1:86" x14ac:dyDescent="0.25">
      <c r="A52" s="1"/>
      <c r="B52" s="10" t="s">
        <v>24</v>
      </c>
      <c r="C52" s="10">
        <v>2017</v>
      </c>
      <c r="D52" s="10">
        <f>C52+1</f>
        <v>2018</v>
      </c>
      <c r="E52" s="10">
        <f>D52+1</f>
        <v>2019</v>
      </c>
      <c r="F52" s="10">
        <v>2020</v>
      </c>
      <c r="G52" s="10">
        <v>2021</v>
      </c>
      <c r="H52" s="10">
        <v>2022</v>
      </c>
      <c r="I52" s="85">
        <v>2023</v>
      </c>
      <c r="J52" s="10">
        <v>2024</v>
      </c>
      <c r="K52" s="10">
        <v>2025</v>
      </c>
      <c r="L52" s="10">
        <v>2026</v>
      </c>
      <c r="M52" s="10">
        <v>2027</v>
      </c>
      <c r="N52" s="10">
        <v>2028</v>
      </c>
      <c r="O52" s="10">
        <v>2029</v>
      </c>
      <c r="P52" s="10">
        <v>2030</v>
      </c>
      <c r="Q52" s="10">
        <v>2031</v>
      </c>
      <c r="R52" s="10">
        <v>2032</v>
      </c>
      <c r="S52" s="10">
        <v>2033</v>
      </c>
      <c r="T52" s="10">
        <v>2034</v>
      </c>
      <c r="U52" s="10">
        <v>2035</v>
      </c>
      <c r="V52" s="10">
        <v>2036</v>
      </c>
      <c r="W52" s="10">
        <v>2037</v>
      </c>
      <c r="X52" s="10">
        <v>2038</v>
      </c>
      <c r="Y52" s="10">
        <v>2039</v>
      </c>
      <c r="Z52" s="10">
        <v>2040</v>
      </c>
      <c r="AA52" s="10">
        <v>2041</v>
      </c>
      <c r="AB52" s="10">
        <v>2042</v>
      </c>
      <c r="AC52" s="10">
        <v>2043</v>
      </c>
      <c r="AD52" s="10">
        <v>2044</v>
      </c>
      <c r="AE52" s="10">
        <v>2045</v>
      </c>
      <c r="AF52" s="10">
        <v>2046</v>
      </c>
      <c r="AG52" s="10">
        <v>2047</v>
      </c>
      <c r="AH52" s="10">
        <v>2048</v>
      </c>
      <c r="AI52" s="10">
        <v>2049</v>
      </c>
      <c r="AJ52" s="10">
        <v>2050</v>
      </c>
      <c r="AK52" s="10">
        <v>2051</v>
      </c>
      <c r="AL52" s="10">
        <v>2052</v>
      </c>
      <c r="AM52" s="10">
        <v>2053</v>
      </c>
      <c r="AN52" s="10">
        <v>2054</v>
      </c>
      <c r="AO52" s="10">
        <v>2055</v>
      </c>
      <c r="AP52" s="10">
        <v>2056</v>
      </c>
      <c r="AQ52" s="10">
        <v>2057</v>
      </c>
      <c r="AR52" s="10">
        <v>2058</v>
      </c>
      <c r="AS52" s="10">
        <v>2059</v>
      </c>
      <c r="AT52" s="10">
        <v>2060</v>
      </c>
      <c r="AU52" s="10">
        <v>2061</v>
      </c>
      <c r="AV52" s="10">
        <v>2062</v>
      </c>
      <c r="AW52" s="10">
        <v>2063</v>
      </c>
      <c r="AX52" s="10">
        <v>2064</v>
      </c>
      <c r="AY52" s="10">
        <v>2065</v>
      </c>
      <c r="AZ52" s="10">
        <v>2066</v>
      </c>
      <c r="BA52" s="10">
        <v>2067</v>
      </c>
      <c r="BB52" s="10">
        <v>2068</v>
      </c>
      <c r="BC52" s="10">
        <v>2069</v>
      </c>
      <c r="BD52" s="10">
        <v>2070</v>
      </c>
      <c r="BE52" s="10">
        <v>2071</v>
      </c>
      <c r="BF52" s="10">
        <v>2072</v>
      </c>
      <c r="BG52" s="10">
        <v>2073</v>
      </c>
      <c r="BH52" s="10">
        <v>2074</v>
      </c>
      <c r="BI52" s="10">
        <v>2075</v>
      </c>
      <c r="BJ52" s="10">
        <v>2076</v>
      </c>
      <c r="BK52" s="10">
        <v>2077</v>
      </c>
      <c r="BL52" s="10">
        <v>2078</v>
      </c>
      <c r="BM52" s="10">
        <v>2079</v>
      </c>
      <c r="BN52" s="10">
        <v>2080</v>
      </c>
      <c r="BO52" s="10">
        <v>2081</v>
      </c>
      <c r="BP52" s="10">
        <v>2082</v>
      </c>
      <c r="BQ52" s="10">
        <v>2083</v>
      </c>
      <c r="BR52" s="10">
        <v>2084</v>
      </c>
      <c r="BS52" s="10">
        <v>2085</v>
      </c>
      <c r="BT52" s="10">
        <v>2086</v>
      </c>
      <c r="BU52" s="10">
        <v>2087</v>
      </c>
      <c r="BV52" s="10">
        <v>2088</v>
      </c>
      <c r="BW52" s="10">
        <v>2089</v>
      </c>
      <c r="BX52" s="10">
        <v>2090</v>
      </c>
      <c r="BY52" s="10">
        <v>2091</v>
      </c>
      <c r="BZ52" s="10">
        <v>2092</v>
      </c>
      <c r="CA52" s="10">
        <v>2093</v>
      </c>
      <c r="CB52" s="10">
        <v>2094</v>
      </c>
      <c r="CC52" s="10">
        <v>2095</v>
      </c>
      <c r="CD52" s="10">
        <v>2096</v>
      </c>
      <c r="CE52" s="10">
        <v>2097</v>
      </c>
      <c r="CF52" s="10">
        <v>2098</v>
      </c>
      <c r="CG52" s="10">
        <v>2099</v>
      </c>
      <c r="CH52" s="10">
        <v>2100</v>
      </c>
    </row>
    <row r="53" spans="1:86" x14ac:dyDescent="0.25">
      <c r="A53" s="1"/>
      <c r="B53" s="1" t="s">
        <v>25</v>
      </c>
      <c r="C53" s="12">
        <f>5284+9009</f>
        <v>14293</v>
      </c>
      <c r="D53" s="12">
        <f>8789+13231</f>
        <v>22020</v>
      </c>
      <c r="E53" s="26">
        <f>14962+22118</f>
        <v>37080</v>
      </c>
      <c r="F53" s="12">
        <f>20523+21904</f>
        <v>42427</v>
      </c>
      <c r="G53" s="12">
        <f>26389+21520</f>
        <v>47909</v>
      </c>
      <c r="H53" s="12">
        <f>27808+20257</f>
        <v>48065</v>
      </c>
      <c r="I53" s="22">
        <f>I54*I11</f>
        <v>53128.701359999999</v>
      </c>
      <c r="J53" s="58">
        <f t="shared" ref="J53:R53" si="34">J54*J11</f>
        <v>65826.460985040016</v>
      </c>
      <c r="K53" s="58">
        <f t="shared" si="34"/>
        <v>76311.675841942808</v>
      </c>
      <c r="L53" s="58">
        <f t="shared" si="34"/>
        <v>88073.848811714255</v>
      </c>
      <c r="M53" s="58">
        <f t="shared" si="34"/>
        <v>101251.89844016703</v>
      </c>
      <c r="N53" s="58">
        <f t="shared" si="34"/>
        <v>109554.55411226072</v>
      </c>
      <c r="O53" s="58">
        <f t="shared" si="34"/>
        <v>118538.02754946612</v>
      </c>
      <c r="P53" s="58">
        <f t="shared" si="34"/>
        <v>128258.14580852236</v>
      </c>
      <c r="Q53" s="58">
        <f t="shared" si="34"/>
        <v>146938.56751569302</v>
      </c>
      <c r="R53" s="58">
        <f t="shared" si="34"/>
        <v>158987.53005197985</v>
      </c>
    </row>
    <row r="54" spans="1:86" x14ac:dyDescent="0.25">
      <c r="A54" s="1"/>
      <c r="B54" s="14" t="s">
        <v>21</v>
      </c>
      <c r="C54" s="15">
        <f>C53/C11</f>
        <v>9.030599028261295E-2</v>
      </c>
      <c r="D54" s="15">
        <f>D53/D11</f>
        <v>8.7986382489031664E-2</v>
      </c>
      <c r="E54" s="15">
        <f>E53/E11</f>
        <v>9.8396153315430251E-2</v>
      </c>
      <c r="F54" s="15">
        <f>F53/F11</f>
        <v>8.3237363917984891E-2</v>
      </c>
      <c r="G54" s="15">
        <f t="shared" ref="G54" si="35">G53/G11</f>
        <v>6.6791767335062993E-2</v>
      </c>
      <c r="H54" s="15">
        <f>H53/H11</f>
        <v>5.6344087534083105E-2</v>
      </c>
      <c r="I54" s="21">
        <v>0.06</v>
      </c>
      <c r="J54" s="59">
        <v>7.0000000000000007E-2</v>
      </c>
      <c r="K54" s="59">
        <v>7.4999999999999997E-2</v>
      </c>
      <c r="L54" s="59">
        <v>0.08</v>
      </c>
      <c r="M54" s="59">
        <v>8.5000000000000006E-2</v>
      </c>
      <c r="N54" s="59">
        <v>8.5000000000000006E-2</v>
      </c>
      <c r="O54" s="59">
        <v>8.5000000000000006E-2</v>
      </c>
      <c r="P54" s="59">
        <v>8.5000000000000006E-2</v>
      </c>
      <c r="Q54" s="59">
        <v>0.09</v>
      </c>
      <c r="R54" s="59">
        <v>0.09</v>
      </c>
    </row>
    <row r="55" spans="1:86" x14ac:dyDescent="0.25">
      <c r="A55" s="1"/>
      <c r="B55" s="1"/>
      <c r="C55" s="1"/>
      <c r="D55" s="1"/>
      <c r="F55" s="1"/>
      <c r="G55" s="1"/>
      <c r="H55" s="1"/>
      <c r="I55" s="13"/>
      <c r="J55" s="60"/>
      <c r="K55" s="60"/>
      <c r="L55" s="60"/>
      <c r="M55" s="60"/>
      <c r="N55" s="60"/>
      <c r="O55" s="61"/>
      <c r="P55" s="61"/>
      <c r="Q55" s="61"/>
      <c r="R55" s="61"/>
    </row>
    <row r="56" spans="1:86" x14ac:dyDescent="0.25">
      <c r="A56" s="1"/>
      <c r="B56" s="1" t="s">
        <v>26</v>
      </c>
      <c r="C56" s="12">
        <f>-5326-5680</f>
        <v>-11006</v>
      </c>
      <c r="D56" s="12">
        <f>-4027-15601</f>
        <v>-19628</v>
      </c>
      <c r="E56" s="26">
        <f>-3146-32336</f>
        <v>-35482</v>
      </c>
      <c r="F56" s="12">
        <v>-32550</v>
      </c>
      <c r="G56" s="12">
        <v>-41450</v>
      </c>
      <c r="H56" s="12">
        <v>-53309</v>
      </c>
      <c r="I56" s="22">
        <f>I57*I11</f>
        <v>-53128.701359999999</v>
      </c>
      <c r="J56" s="58">
        <f t="shared" ref="J56:R56" si="36">J57*J11</f>
        <v>-56422.680844319999</v>
      </c>
      <c r="K56" s="58">
        <f t="shared" si="36"/>
        <v>-71224.230785813299</v>
      </c>
      <c r="L56" s="58">
        <f t="shared" si="36"/>
        <v>-77064.617710249979</v>
      </c>
      <c r="M56" s="58">
        <f t="shared" si="36"/>
        <v>-89339.910388382661</v>
      </c>
      <c r="N56" s="58">
        <f t="shared" si="36"/>
        <v>-96665.783040230046</v>
      </c>
      <c r="O56" s="58">
        <f t="shared" si="36"/>
        <v>-111565.20239949752</v>
      </c>
      <c r="P56" s="58">
        <f t="shared" si="36"/>
        <v>-120713.54899625633</v>
      </c>
      <c r="Q56" s="58">
        <f t="shared" si="36"/>
        <v>-130612.06001394935</v>
      </c>
      <c r="R56" s="58">
        <f t="shared" si="36"/>
        <v>-141322.2489350932</v>
      </c>
    </row>
    <row r="57" spans="1:86" x14ac:dyDescent="0.25">
      <c r="A57" s="1"/>
      <c r="B57" s="14" t="s">
        <v>21</v>
      </c>
      <c r="C57" s="15">
        <f t="shared" ref="C57:G57" si="37">C56/C11</f>
        <v>-6.9538076614457295E-2</v>
      </c>
      <c r="D57" s="15">
        <f t="shared" si="37"/>
        <v>-7.8428552020650022E-2</v>
      </c>
      <c r="E57" s="15">
        <f t="shared" si="37"/>
        <v>-9.4155671842990729E-2</v>
      </c>
      <c r="F57" s="15">
        <f t="shared" si="37"/>
        <v>-6.3859716584495921E-2</v>
      </c>
      <c r="G57" s="15">
        <f t="shared" si="37"/>
        <v>-5.7787028659299113E-2</v>
      </c>
      <c r="H57" s="15">
        <f>H56/H11</f>
        <v>-6.2491354672931161E-2</v>
      </c>
      <c r="I57" s="21">
        <v>-0.06</v>
      </c>
      <c r="J57" s="59">
        <v>-0.06</v>
      </c>
      <c r="K57" s="59">
        <v>-7.0000000000000007E-2</v>
      </c>
      <c r="L57" s="59">
        <v>-7.0000000000000007E-2</v>
      </c>
      <c r="M57" s="59">
        <v>-7.4999999999999997E-2</v>
      </c>
      <c r="N57" s="59">
        <v>-7.4999999999999997E-2</v>
      </c>
      <c r="O57" s="59">
        <v>-0.08</v>
      </c>
      <c r="P57" s="59">
        <v>-0.08</v>
      </c>
      <c r="Q57" s="59">
        <v>-0.08</v>
      </c>
      <c r="R57" s="59">
        <v>-0.08</v>
      </c>
    </row>
    <row r="58" spans="1:86" x14ac:dyDescent="0.25">
      <c r="A58" s="1"/>
      <c r="B58" s="1"/>
      <c r="C58" s="1"/>
      <c r="D58" s="1"/>
      <c r="F58" s="1"/>
      <c r="G58" s="1"/>
      <c r="H58" s="1"/>
      <c r="I58" s="13"/>
      <c r="J58" s="60"/>
      <c r="K58" s="60"/>
      <c r="L58" s="60"/>
      <c r="M58" s="60"/>
      <c r="N58" s="60"/>
      <c r="O58" s="61"/>
      <c r="P58" s="61"/>
      <c r="Q58" s="61"/>
      <c r="R58" s="61"/>
    </row>
    <row r="59" spans="1:86" x14ac:dyDescent="0.25">
      <c r="A59" s="1"/>
      <c r="B59" s="1" t="s">
        <v>27</v>
      </c>
      <c r="C59" s="1">
        <v>9787</v>
      </c>
      <c r="D59" s="1">
        <v>22725</v>
      </c>
      <c r="E59" s="2">
        <v>32250</v>
      </c>
      <c r="F59" s="42">
        <v>-16830</v>
      </c>
      <c r="G59" s="42">
        <v>-65690</v>
      </c>
      <c r="H59" s="42">
        <v>13440</v>
      </c>
      <c r="I59" s="22">
        <f t="shared" ref="I59:R59" si="38">I60*I11</f>
        <v>-17709.56712</v>
      </c>
      <c r="J59" s="58">
        <f t="shared" si="38"/>
        <v>-18807.560281440001</v>
      </c>
      <c r="K59" s="58">
        <f t="shared" si="38"/>
        <v>10174.890112259041</v>
      </c>
      <c r="L59" s="58">
        <f t="shared" si="38"/>
        <v>11009.231101464282</v>
      </c>
      <c r="M59" s="58">
        <f t="shared" si="38"/>
        <v>23823.976103568712</v>
      </c>
      <c r="N59" s="58">
        <f t="shared" si="38"/>
        <v>38666.313216092014</v>
      </c>
      <c r="O59" s="58">
        <f t="shared" si="38"/>
        <v>41836.950899811571</v>
      </c>
      <c r="P59" s="58">
        <f t="shared" si="38"/>
        <v>60356.774498128165</v>
      </c>
      <c r="Q59" s="58">
        <f t="shared" si="38"/>
        <v>65306.030006974674</v>
      </c>
      <c r="R59" s="58">
        <f t="shared" si="38"/>
        <v>70661.1244675466</v>
      </c>
    </row>
    <row r="60" spans="1:86" x14ac:dyDescent="0.25">
      <c r="A60" s="1"/>
      <c r="B60" s="14" t="s">
        <v>21</v>
      </c>
      <c r="C60" s="15">
        <f>C59/C11</f>
        <v>6.1836194423559296E-2</v>
      </c>
      <c r="D60" s="15">
        <f>D59/D11</f>
        <v>9.0803385198149164E-2</v>
      </c>
      <c r="E60" s="15">
        <f>E59/E11</f>
        <v>8.5579178652174376E-2</v>
      </c>
      <c r="F60" s="15">
        <f t="shared" ref="F60:H60" si="39">F59/F11</f>
        <v>-3.3018710602674847E-2</v>
      </c>
      <c r="G60" s="15">
        <f t="shared" si="39"/>
        <v>-9.1580938784785487E-2</v>
      </c>
      <c r="H60" s="15">
        <f t="shared" si="39"/>
        <v>1.5755009600708976E-2</v>
      </c>
      <c r="I60" s="86">
        <v>-0.02</v>
      </c>
      <c r="J60" s="75">
        <v>-0.02</v>
      </c>
      <c r="K60" s="75">
        <v>0.01</v>
      </c>
      <c r="L60" s="75">
        <v>0.01</v>
      </c>
      <c r="M60" s="75">
        <v>0.02</v>
      </c>
      <c r="N60" s="75">
        <v>0.03</v>
      </c>
      <c r="O60" s="75">
        <v>0.03</v>
      </c>
      <c r="P60" s="75">
        <v>0.04</v>
      </c>
      <c r="Q60" s="75">
        <v>0.04</v>
      </c>
      <c r="R60" s="75">
        <v>0.04</v>
      </c>
    </row>
    <row r="61" spans="1:86" x14ac:dyDescent="0.25">
      <c r="A61" s="1"/>
      <c r="B61" s="1"/>
      <c r="C61" s="1"/>
      <c r="D61" s="1"/>
      <c r="E61" s="1"/>
      <c r="F61" s="1"/>
      <c r="G61" s="1"/>
      <c r="H61" s="1"/>
      <c r="I61" s="13"/>
      <c r="J61" s="60"/>
      <c r="K61" s="60"/>
      <c r="L61" s="60"/>
      <c r="M61" s="60"/>
      <c r="N61" s="60"/>
      <c r="O61" s="60"/>
      <c r="P61" s="60"/>
      <c r="Q61" s="60"/>
      <c r="R61" s="61"/>
    </row>
    <row r="62" spans="1:86" x14ac:dyDescent="0.25">
      <c r="A62" s="1"/>
      <c r="B62" s="10" t="s">
        <v>28</v>
      </c>
      <c r="C62" s="12">
        <f>C46+C49</f>
        <v>34374</v>
      </c>
      <c r="D62" s="12">
        <f t="shared" ref="D62:R62" si="40">D46+D49</f>
        <v>37937</v>
      </c>
      <c r="E62" s="12">
        <f t="shared" si="40"/>
        <v>51824</v>
      </c>
      <c r="F62" s="12">
        <f t="shared" si="40"/>
        <v>79099</v>
      </c>
      <c r="G62" s="12">
        <f t="shared" si="40"/>
        <v>79775</v>
      </c>
      <c r="H62" s="12">
        <f t="shared" si="40"/>
        <v>93955</v>
      </c>
      <c r="I62" s="84">
        <f t="shared" si="40"/>
        <v>84120.44382</v>
      </c>
      <c r="J62" s="12">
        <f t="shared" si="40"/>
        <v>92909.347790313608</v>
      </c>
      <c r="K62" s="12">
        <f t="shared" si="40"/>
        <v>108260.83079443622</v>
      </c>
      <c r="L62" s="12">
        <f t="shared" si="40"/>
        <v>150606.28146803137</v>
      </c>
      <c r="M62" s="12">
        <f t="shared" si="40"/>
        <v>162955.99654840998</v>
      </c>
      <c r="N62" s="12">
        <f t="shared" si="40"/>
        <v>195909.32029486622</v>
      </c>
      <c r="O62" s="12">
        <f t="shared" si="40"/>
        <v>211973.88455904531</v>
      </c>
      <c r="P62" s="12">
        <f t="shared" si="40"/>
        <v>229355.74309288705</v>
      </c>
      <c r="Q62" s="12">
        <f t="shared" si="40"/>
        <v>248162.9140265038</v>
      </c>
      <c r="R62" s="12">
        <f t="shared" si="40"/>
        <v>268512.27297667711</v>
      </c>
    </row>
    <row r="63" spans="1:86" x14ac:dyDescent="0.25">
      <c r="A63" s="1"/>
      <c r="B63" s="10" t="s">
        <v>47</v>
      </c>
      <c r="C63" s="12">
        <v>2449</v>
      </c>
      <c r="D63" s="12">
        <f>2681-108</f>
        <v>2573</v>
      </c>
      <c r="E63" s="12">
        <f>7652-286</f>
        <v>7366</v>
      </c>
      <c r="F63" s="12">
        <f>9083-170</f>
        <v>8913</v>
      </c>
      <c r="G63" s="12">
        <f>7294-270</f>
        <v>7024</v>
      </c>
      <c r="H63" s="12">
        <f>15170-290</f>
        <v>14880</v>
      </c>
      <c r="I63" s="84">
        <f>I11*1.5%</f>
        <v>13282.17534</v>
      </c>
      <c r="J63" s="73">
        <f t="shared" ref="J63:R63" si="41">J11*1.5%</f>
        <v>14105.67021108</v>
      </c>
      <c r="K63" s="73">
        <f t="shared" si="41"/>
        <v>15262.335168388561</v>
      </c>
      <c r="L63" s="73">
        <f t="shared" si="41"/>
        <v>16513.846652196422</v>
      </c>
      <c r="M63" s="73">
        <f t="shared" si="41"/>
        <v>17867.982077676534</v>
      </c>
      <c r="N63" s="73">
        <f t="shared" si="41"/>
        <v>19333.156608046007</v>
      </c>
      <c r="O63" s="73">
        <f t="shared" si="41"/>
        <v>20918.475449905785</v>
      </c>
      <c r="P63" s="73">
        <f t="shared" si="41"/>
        <v>22633.790436798059</v>
      </c>
      <c r="Q63" s="73">
        <f t="shared" si="41"/>
        <v>24489.761252615503</v>
      </c>
      <c r="R63" s="73">
        <f t="shared" si="41"/>
        <v>26497.921675329977</v>
      </c>
    </row>
    <row r="64" spans="1:86" x14ac:dyDescent="0.25">
      <c r="A64" s="1"/>
      <c r="B64" s="10" t="s">
        <v>29</v>
      </c>
      <c r="C64" s="73">
        <f>C44+C49+C63</f>
        <v>43675</v>
      </c>
      <c r="D64" s="73">
        <f t="shared" ref="D64:E64" si="42">D44+D49+D63</f>
        <v>63985</v>
      </c>
      <c r="E64" s="73">
        <f t="shared" si="42"/>
        <v>87600</v>
      </c>
      <c r="F64" s="73">
        <f>F44+F49+F63</f>
        <v>149313</v>
      </c>
      <c r="G64" s="73">
        <f>G44+G49+G63</f>
        <v>150272</v>
      </c>
      <c r="H64" s="73">
        <f>H44+H49+H63</f>
        <v>61959</v>
      </c>
      <c r="I64" s="84">
        <f>I44+I49+I63</f>
        <v>88636.383435599972</v>
      </c>
      <c r="J64" s="73">
        <f t="shared" ref="J64:R64" si="43">J44+J49+J63</f>
        <v>113221.51289426877</v>
      </c>
      <c r="K64" s="73">
        <f t="shared" si="43"/>
        <v>115993.74727975304</v>
      </c>
      <c r="L64" s="73">
        <f t="shared" si="43"/>
        <v>117578.58816363855</v>
      </c>
      <c r="M64" s="73">
        <f t="shared" si="43"/>
        <v>131984.82761377067</v>
      </c>
      <c r="N64" s="73">
        <f t="shared" si="43"/>
        <v>173998.40947241412</v>
      </c>
      <c r="O64" s="73">
        <f t="shared" si="43"/>
        <v>188266.27904915216</v>
      </c>
      <c r="P64" s="73">
        <f t="shared" si="43"/>
        <v>203704.11393118263</v>
      </c>
      <c r="Q64" s="73">
        <f t="shared" si="43"/>
        <v>220407.85127353962</v>
      </c>
      <c r="R64" s="73">
        <f t="shared" si="43"/>
        <v>238481.29507796979</v>
      </c>
      <c r="S64" s="74">
        <f>R64*(1+$E$6)</f>
        <v>236096.48212719007</v>
      </c>
      <c r="T64" s="74">
        <f t="shared" ref="T64:CE64" si="44">S64*(1+$E$6)</f>
        <v>233735.51730591818</v>
      </c>
      <c r="U64" s="74">
        <f t="shared" si="44"/>
        <v>231398.162132859</v>
      </c>
      <c r="V64" s="74">
        <f t="shared" si="44"/>
        <v>229084.1805115304</v>
      </c>
      <c r="W64" s="74">
        <f t="shared" si="44"/>
        <v>226793.33870641509</v>
      </c>
      <c r="X64" s="74">
        <f t="shared" si="44"/>
        <v>224525.40531935095</v>
      </c>
      <c r="Y64" s="74">
        <f t="shared" si="44"/>
        <v>222280.15126615742</v>
      </c>
      <c r="Z64" s="74">
        <f t="shared" si="44"/>
        <v>220057.34975349586</v>
      </c>
      <c r="AA64" s="74">
        <f t="shared" si="44"/>
        <v>217856.7762559609</v>
      </c>
      <c r="AB64" s="74">
        <f t="shared" si="44"/>
        <v>215678.2084934013</v>
      </c>
      <c r="AC64" s="74">
        <f t="shared" si="44"/>
        <v>213521.42640846729</v>
      </c>
      <c r="AD64" s="74">
        <f t="shared" si="44"/>
        <v>211386.21214438262</v>
      </c>
      <c r="AE64" s="74">
        <f t="shared" si="44"/>
        <v>209272.3500229388</v>
      </c>
      <c r="AF64" s="74">
        <f t="shared" si="44"/>
        <v>207179.62652270941</v>
      </c>
      <c r="AG64" s="74">
        <f t="shared" si="44"/>
        <v>205107.8302574823</v>
      </c>
      <c r="AH64" s="74">
        <f t="shared" si="44"/>
        <v>203056.75195490746</v>
      </c>
      <c r="AI64" s="74">
        <f t="shared" si="44"/>
        <v>201026.18443535839</v>
      </c>
      <c r="AJ64" s="74">
        <f t="shared" si="44"/>
        <v>199015.92259100481</v>
      </c>
      <c r="AK64" s="74">
        <f t="shared" si="44"/>
        <v>197025.76336509475</v>
      </c>
      <c r="AL64" s="74">
        <f t="shared" si="44"/>
        <v>195055.50573144382</v>
      </c>
      <c r="AM64" s="74">
        <f t="shared" si="44"/>
        <v>193104.95067412939</v>
      </c>
      <c r="AN64" s="74">
        <f t="shared" si="44"/>
        <v>191173.9011673881</v>
      </c>
      <c r="AO64" s="74">
        <f t="shared" si="44"/>
        <v>189262.16215571421</v>
      </c>
      <c r="AP64" s="74">
        <f t="shared" si="44"/>
        <v>187369.54053415707</v>
      </c>
      <c r="AQ64" s="74">
        <f t="shared" si="44"/>
        <v>185495.8451288155</v>
      </c>
      <c r="AR64" s="74">
        <f t="shared" si="44"/>
        <v>183640.88667752733</v>
      </c>
      <c r="AS64" s="74">
        <f t="shared" si="44"/>
        <v>181804.47781075205</v>
      </c>
      <c r="AT64" s="74">
        <f t="shared" si="44"/>
        <v>179986.43303264453</v>
      </c>
      <c r="AU64" s="74">
        <f t="shared" si="44"/>
        <v>178186.56870231809</v>
      </c>
      <c r="AV64" s="74">
        <f t="shared" si="44"/>
        <v>176404.70301529492</v>
      </c>
      <c r="AW64" s="74">
        <f t="shared" si="44"/>
        <v>174640.65598514196</v>
      </c>
      <c r="AX64" s="74">
        <f t="shared" si="44"/>
        <v>172894.24942529053</v>
      </c>
      <c r="AY64" s="74">
        <f t="shared" si="44"/>
        <v>171165.30693103763</v>
      </c>
      <c r="AZ64" s="74">
        <f t="shared" si="44"/>
        <v>169453.65386172725</v>
      </c>
      <c r="BA64" s="74">
        <f t="shared" si="44"/>
        <v>167759.11732310997</v>
      </c>
      <c r="BB64" s="74">
        <f t="shared" si="44"/>
        <v>166081.52614987886</v>
      </c>
      <c r="BC64" s="74">
        <f t="shared" si="44"/>
        <v>164420.71088838007</v>
      </c>
      <c r="BD64" s="74">
        <f t="shared" si="44"/>
        <v>162776.50377949627</v>
      </c>
      <c r="BE64" s="74">
        <f t="shared" si="44"/>
        <v>161148.73874170129</v>
      </c>
      <c r="BF64" s="74">
        <f t="shared" si="44"/>
        <v>159537.25135428429</v>
      </c>
      <c r="BG64" s="74">
        <f t="shared" si="44"/>
        <v>157941.87884074144</v>
      </c>
      <c r="BH64" s="74">
        <f t="shared" si="44"/>
        <v>156362.46005233403</v>
      </c>
      <c r="BI64" s="74">
        <f t="shared" si="44"/>
        <v>154798.83545181068</v>
      </c>
      <c r="BJ64" s="74">
        <f t="shared" si="44"/>
        <v>153250.84709729257</v>
      </c>
      <c r="BK64" s="74">
        <f t="shared" si="44"/>
        <v>151718.33862631966</v>
      </c>
      <c r="BL64" s="74">
        <f t="shared" si="44"/>
        <v>150201.15524005645</v>
      </c>
      <c r="BM64" s="74">
        <f t="shared" si="44"/>
        <v>148699.14368765589</v>
      </c>
      <c r="BN64" s="74">
        <f t="shared" si="44"/>
        <v>147212.15225077933</v>
      </c>
      <c r="BO64" s="74">
        <f t="shared" si="44"/>
        <v>145740.03072827152</v>
      </c>
      <c r="BP64" s="74">
        <f t="shared" si="44"/>
        <v>144282.6304209888</v>
      </c>
      <c r="BQ64" s="74">
        <f t="shared" si="44"/>
        <v>142839.80411677892</v>
      </c>
      <c r="BR64" s="74">
        <f t="shared" si="44"/>
        <v>141411.40607561113</v>
      </c>
      <c r="BS64" s="74">
        <f t="shared" si="44"/>
        <v>139997.29201485502</v>
      </c>
      <c r="BT64" s="74">
        <f t="shared" si="44"/>
        <v>138597.31909470647</v>
      </c>
      <c r="BU64" s="74">
        <f t="shared" si="44"/>
        <v>137211.34590375941</v>
      </c>
      <c r="BV64" s="74">
        <f t="shared" si="44"/>
        <v>135839.23244472183</v>
      </c>
      <c r="BW64" s="74">
        <f t="shared" si="44"/>
        <v>134480.8401202746</v>
      </c>
      <c r="BX64" s="74">
        <f t="shared" si="44"/>
        <v>133136.03171907185</v>
      </c>
      <c r="BY64" s="74">
        <f t="shared" si="44"/>
        <v>131804.67140188112</v>
      </c>
      <c r="BZ64" s="74">
        <f t="shared" si="44"/>
        <v>130486.62468786231</v>
      </c>
      <c r="CA64" s="74">
        <f t="shared" si="44"/>
        <v>129181.75844098369</v>
      </c>
      <c r="CB64" s="74">
        <f t="shared" si="44"/>
        <v>127889.94085657384</v>
      </c>
      <c r="CC64" s="74">
        <f t="shared" si="44"/>
        <v>126611.04144800811</v>
      </c>
      <c r="CD64" s="74">
        <f t="shared" si="44"/>
        <v>125344.93103352803</v>
      </c>
      <c r="CE64" s="74">
        <f t="shared" si="44"/>
        <v>124091.48172319274</v>
      </c>
      <c r="CF64" s="74">
        <f t="shared" ref="CF64:CH64" si="45">CE64*(1+$E$6)</f>
        <v>122850.56690596082</v>
      </c>
      <c r="CG64" s="74">
        <f t="shared" si="45"/>
        <v>121622.06123690121</v>
      </c>
      <c r="CH64" s="74">
        <f t="shared" si="45"/>
        <v>120405.8406245322</v>
      </c>
    </row>
    <row r="65" spans="1:18" x14ac:dyDescent="0.25">
      <c r="A65" s="1"/>
      <c r="B65" s="6"/>
      <c r="C65" s="24"/>
      <c r="D65" s="24"/>
      <c r="E65" s="24"/>
      <c r="F65" s="24"/>
      <c r="G65" s="24"/>
      <c r="H65" s="24"/>
      <c r="I65" s="13"/>
      <c r="J65" s="1"/>
      <c r="K65" s="1"/>
      <c r="L65" s="1"/>
      <c r="M65" s="1"/>
      <c r="N65" s="1"/>
      <c r="O65" s="1"/>
      <c r="P65" s="1"/>
      <c r="Q65" s="1"/>
    </row>
    <row r="66" spans="1:18" x14ac:dyDescent="0.25">
      <c r="A66" s="1"/>
      <c r="B66" s="10" t="s">
        <v>30</v>
      </c>
      <c r="C66" s="27">
        <f>C62+C53+C56-C59</f>
        <v>27874</v>
      </c>
      <c r="D66" s="27">
        <f t="shared" ref="D66:F66" si="46">D62+D53+D56-D59</f>
        <v>17604</v>
      </c>
      <c r="E66" s="27">
        <f t="shared" si="46"/>
        <v>21172</v>
      </c>
      <c r="F66" s="27">
        <f t="shared" si="46"/>
        <v>105806</v>
      </c>
      <c r="G66" s="27">
        <f>G62+G53+G56-G59</f>
        <v>151924</v>
      </c>
      <c r="H66" s="27">
        <f>H62+H53+H56-H59</f>
        <v>75271</v>
      </c>
      <c r="I66" s="87">
        <f>I62+I53+I56-I59</f>
        <v>101830.01093999998</v>
      </c>
      <c r="J66" s="27">
        <f t="shared" ref="J66:R66" si="47">J62+J53+J56-J59</f>
        <v>121120.68821247363</v>
      </c>
      <c r="K66" s="27">
        <f t="shared" si="47"/>
        <v>103173.38573830668</v>
      </c>
      <c r="L66" s="27">
        <f t="shared" si="47"/>
        <v>150606.28146803137</v>
      </c>
      <c r="M66" s="27">
        <f t="shared" si="47"/>
        <v>151044.00849662561</v>
      </c>
      <c r="N66" s="27">
        <f t="shared" si="47"/>
        <v>170131.77815080486</v>
      </c>
      <c r="O66" s="27">
        <f t="shared" si="47"/>
        <v>177109.75880920235</v>
      </c>
      <c r="P66" s="27">
        <f t="shared" si="47"/>
        <v>176543.56540702493</v>
      </c>
      <c r="Q66" s="27">
        <f t="shared" si="47"/>
        <v>199183.3915212728</v>
      </c>
      <c r="R66" s="27">
        <f t="shared" si="47"/>
        <v>215516.42962601723</v>
      </c>
    </row>
    <row r="67" spans="1:18" x14ac:dyDescent="0.25">
      <c r="A67" s="1"/>
      <c r="B67" s="28" t="s">
        <v>31</v>
      </c>
      <c r="C67" s="1"/>
      <c r="D67" s="1"/>
      <c r="E67" s="1"/>
      <c r="F67" s="1"/>
      <c r="G67" s="1"/>
      <c r="H67" s="1"/>
      <c r="I67" s="88">
        <f t="shared" ref="I67:R67" si="48">I66/((1+$E$5)^I9)</f>
        <v>93679.862870285171</v>
      </c>
      <c r="J67" s="19">
        <f t="shared" si="48"/>
        <v>102508.34967105064</v>
      </c>
      <c r="K67" s="19">
        <f t="shared" si="48"/>
        <v>80330.237379714716</v>
      </c>
      <c r="L67" s="19">
        <f t="shared" si="48"/>
        <v>107876.01857686647</v>
      </c>
      <c r="M67" s="19">
        <f t="shared" si="48"/>
        <v>99530.407516136329</v>
      </c>
      <c r="N67" s="19">
        <f t="shared" si="48"/>
        <v>103135.49957400667</v>
      </c>
      <c r="O67" s="19">
        <f t="shared" si="48"/>
        <v>98772.41740167934</v>
      </c>
      <c r="P67" s="19">
        <f t="shared" si="48"/>
        <v>90576.501159357882</v>
      </c>
      <c r="Q67" s="19">
        <f t="shared" si="48"/>
        <v>94012.851642487192</v>
      </c>
      <c r="R67" s="19">
        <f t="shared" si="48"/>
        <v>93580.409822604575</v>
      </c>
    </row>
    <row r="68" spans="1:18" x14ac:dyDescent="0.25">
      <c r="A68" s="1"/>
      <c r="B68" s="29"/>
      <c r="C68" s="29"/>
      <c r="D68" s="29"/>
      <c r="E68" s="29"/>
      <c r="F68" s="29"/>
      <c r="G68" s="29"/>
      <c r="H68" s="29"/>
      <c r="I68" s="30"/>
      <c r="J68" s="29"/>
      <c r="K68" s="29"/>
      <c r="L68" s="29"/>
      <c r="M68" s="29"/>
      <c r="N68" s="29"/>
      <c r="O68" s="29"/>
      <c r="P68" s="29"/>
      <c r="Q68" s="29"/>
      <c r="R68" s="29"/>
    </row>
    <row r="69" spans="1:18" x14ac:dyDescent="0.25">
      <c r="A69" s="1"/>
      <c r="B69" s="1" t="s">
        <v>32</v>
      </c>
      <c r="C69" s="31">
        <f>(R66*(1+$E$6))/($E$5-$E$6)</f>
        <v>2199600.6735026506</v>
      </c>
      <c r="D69" s="1"/>
      <c r="E69" s="1" t="s">
        <v>33</v>
      </c>
      <c r="F69" s="19">
        <f>NPV($E$5,I64:CH64)</f>
        <v>2016472.5422698534</v>
      </c>
      <c r="G69" s="1"/>
      <c r="H69" s="1"/>
      <c r="I69" s="16"/>
      <c r="J69" s="1"/>
      <c r="K69" s="1"/>
      <c r="L69" s="1"/>
      <c r="M69" s="1"/>
      <c r="N69" s="1"/>
      <c r="O69" s="1"/>
      <c r="P69" s="1"/>
      <c r="Q69" s="1"/>
    </row>
    <row r="70" spans="1:18" x14ac:dyDescent="0.25">
      <c r="A70" s="1"/>
      <c r="B70" s="3" t="s">
        <v>34</v>
      </c>
      <c r="C70" s="32">
        <f>C69/((1+$E$5)^$R$9)</f>
        <v>955099.02808637684</v>
      </c>
      <c r="D70" s="17"/>
      <c r="E70" s="3"/>
      <c r="F70" s="3"/>
      <c r="G70" s="3"/>
      <c r="H70" s="17"/>
      <c r="I70" s="13"/>
      <c r="J70" s="60"/>
      <c r="L70" s="63" t="s">
        <v>62</v>
      </c>
      <c r="M70" s="64"/>
      <c r="N70" s="64"/>
      <c r="O70" s="64"/>
      <c r="P70" s="64"/>
      <c r="Q70" s="63"/>
      <c r="R70" s="61"/>
    </row>
    <row r="71" spans="1:18" x14ac:dyDescent="0.25">
      <c r="A71" s="1"/>
      <c r="B71" s="6" t="s">
        <v>35</v>
      </c>
      <c r="C71" s="6"/>
      <c r="D71" s="1"/>
      <c r="E71" s="6"/>
      <c r="F71" s="6"/>
      <c r="G71" s="33" t="s">
        <v>36</v>
      </c>
      <c r="H71" s="33" t="s">
        <v>33</v>
      </c>
      <c r="I71" s="16"/>
      <c r="J71" s="1"/>
      <c r="K71" s="63"/>
      <c r="L71" s="65">
        <f>D77</f>
        <v>119.08533109532272</v>
      </c>
      <c r="M71" s="66">
        <v>-0.03</v>
      </c>
      <c r="N71" s="66">
        <v>-0.02</v>
      </c>
      <c r="O71" s="66">
        <v>-0.01</v>
      </c>
      <c r="P71" s="66">
        <v>0</v>
      </c>
      <c r="Q71" s="66">
        <v>0.01</v>
      </c>
    </row>
    <row r="72" spans="1:18" x14ac:dyDescent="0.25">
      <c r="A72" s="1"/>
      <c r="B72" s="34" t="s">
        <v>37</v>
      </c>
      <c r="C72" s="1"/>
      <c r="D72" s="26">
        <v>455080</v>
      </c>
      <c r="E72" s="1"/>
      <c r="F72" s="1"/>
      <c r="G72" s="31">
        <f>C70+SUM(I67:R67)</f>
        <v>1919101.5837005659</v>
      </c>
      <c r="H72" s="19">
        <f>F69</f>
        <v>2016472.5422698534</v>
      </c>
      <c r="I72" s="16"/>
      <c r="J72" s="1"/>
      <c r="K72" s="63"/>
      <c r="L72" s="67">
        <f>L73-2%</f>
        <v>4.6999999999999986E-2</v>
      </c>
      <c r="M72" s="68">
        <f t="dataTable" ref="M72:Q76" dt2D="1" dtr="1" r1="E6" r2="E5"/>
        <v>176.56684946955215</v>
      </c>
      <c r="N72" s="68">
        <v>192.45180554722765</v>
      </c>
      <c r="O72" s="68">
        <v>213.50075473276945</v>
      </c>
      <c r="P72" s="68">
        <v>242.52654503251324</v>
      </c>
      <c r="Q72" s="68">
        <v>284.80238646592113</v>
      </c>
    </row>
    <row r="73" spans="1:18" x14ac:dyDescent="0.25">
      <c r="A73" s="1"/>
      <c r="B73" s="35" t="s">
        <v>38</v>
      </c>
      <c r="C73" s="3"/>
      <c r="D73" s="36">
        <f>293666</f>
        <v>293666</v>
      </c>
      <c r="E73" s="3"/>
      <c r="F73" s="3"/>
      <c r="G73" s="3"/>
      <c r="H73" s="3"/>
      <c r="I73" s="16"/>
      <c r="J73" s="1"/>
      <c r="K73" s="64"/>
      <c r="L73" s="67">
        <f>L74-2%</f>
        <v>6.699999999999999E-2</v>
      </c>
      <c r="M73" s="68">
        <v>135.178185785008</v>
      </c>
      <c r="N73" s="69">
        <v>143.50329804968018</v>
      </c>
      <c r="O73" s="69">
        <v>153.92145997304107</v>
      </c>
      <c r="P73" s="69">
        <v>167.29236321479931</v>
      </c>
      <c r="Q73" s="68">
        <v>184.9928554689921</v>
      </c>
    </row>
    <row r="74" spans="1:18" x14ac:dyDescent="0.25">
      <c r="A74" s="1"/>
      <c r="B74" s="6" t="s">
        <v>39</v>
      </c>
      <c r="C74" s="6"/>
      <c r="D74" s="6"/>
      <c r="E74" s="6"/>
      <c r="F74" s="6"/>
      <c r="G74" s="37">
        <f>(G72+D72-D73)/D78</f>
        <v>301087.63874103699</v>
      </c>
      <c r="H74" s="38">
        <f>(H72+D72-D73)/D78</f>
        <v>315178.94967725809</v>
      </c>
      <c r="I74" s="16"/>
      <c r="J74"/>
      <c r="K74" s="63" t="s">
        <v>1</v>
      </c>
      <c r="L74" s="70">
        <v>8.6999999999999994E-2</v>
      </c>
      <c r="M74" s="68">
        <v>108.56604729954431</v>
      </c>
      <c r="N74" s="69">
        <v>113.33999307565324</v>
      </c>
      <c r="O74" s="71">
        <v>119.08533109532272</v>
      </c>
      <c r="P74" s="69">
        <v>126.12300419727507</v>
      </c>
      <c r="Q74" s="68">
        <v>134.92569949366745</v>
      </c>
    </row>
    <row r="75" spans="1:18" x14ac:dyDescent="0.25">
      <c r="A75" s="1"/>
      <c r="B75" s="3" t="s">
        <v>40</v>
      </c>
      <c r="C75" s="3"/>
      <c r="D75" s="44">
        <v>2587.5</v>
      </c>
      <c r="E75" s="3"/>
      <c r="F75" s="3"/>
      <c r="G75" s="3"/>
      <c r="H75" s="3"/>
      <c r="I75" s="16"/>
      <c r="J75" s="1"/>
      <c r="K75" s="63"/>
      <c r="L75" s="72">
        <f>L74+2%</f>
        <v>0.107</v>
      </c>
      <c r="M75" s="68">
        <v>90.238914762110767</v>
      </c>
      <c r="N75" s="69">
        <v>93.159255680431386</v>
      </c>
      <c r="O75" s="69">
        <v>96.576215202007546</v>
      </c>
      <c r="P75" s="69">
        <v>100.62628256160735</v>
      </c>
      <c r="Q75" s="68">
        <v>105.49936307736844</v>
      </c>
    </row>
    <row r="76" spans="1:18" x14ac:dyDescent="0.25">
      <c r="A76" s="1"/>
      <c r="B76" s="18" t="s">
        <v>41</v>
      </c>
      <c r="C76" s="18"/>
      <c r="D76" s="18">
        <f>D75*$J$5</f>
        <v>214633.125</v>
      </c>
      <c r="E76" s="18"/>
      <c r="F76" s="18"/>
      <c r="G76" s="18"/>
      <c r="H76" s="39"/>
      <c r="I76" s="1"/>
      <c r="J76" s="1"/>
      <c r="K76" s="63"/>
      <c r="L76" s="72">
        <f>L75+2%</f>
        <v>0.127</v>
      </c>
      <c r="M76" s="68">
        <v>76.975717348938588</v>
      </c>
      <c r="N76" s="68">
        <v>78.850746134362495</v>
      </c>
      <c r="O76" s="68">
        <v>80.998955526498662</v>
      </c>
      <c r="P76" s="68">
        <v>83.484303181984004</v>
      </c>
      <c r="Q76" s="68">
        <v>86.392024274317649</v>
      </c>
    </row>
    <row r="77" spans="1:18" x14ac:dyDescent="0.25">
      <c r="A77" s="1"/>
      <c r="B77" s="6" t="s">
        <v>42</v>
      </c>
      <c r="C77" s="6" t="s">
        <v>43</v>
      </c>
      <c r="D77" s="6">
        <f>(G77+H77)/2</f>
        <v>119.08533109532272</v>
      </c>
      <c r="F77" s="6"/>
      <c r="G77" s="40">
        <f>G74/D75</f>
        <v>116.36237246030416</v>
      </c>
      <c r="H77" s="40">
        <f>H74/D75</f>
        <v>121.80828973034129</v>
      </c>
      <c r="I77" s="16"/>
      <c r="J77" s="1"/>
    </row>
    <row r="78" spans="1:18" x14ac:dyDescent="0.25">
      <c r="A78"/>
      <c r="B78" s="2" t="s">
        <v>61</v>
      </c>
      <c r="C78" s="1" t="s">
        <v>59</v>
      </c>
      <c r="D78" s="1">
        <v>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H9" sqref="H9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5" t="s">
        <v>1</v>
      </c>
      <c r="C2" s="2"/>
      <c r="D2" s="2"/>
      <c r="E2" s="2"/>
      <c r="F2" s="2"/>
      <c r="G2" s="2"/>
      <c r="H2" s="2"/>
      <c r="I2" s="2"/>
      <c r="J2" s="2"/>
      <c r="K2" s="2"/>
      <c r="L2" s="46"/>
    </row>
    <row r="3" spans="1:14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2"/>
    </row>
    <row r="4" spans="1:14" x14ac:dyDescent="0.25">
      <c r="A4" s="48" t="s">
        <v>49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50</v>
      </c>
      <c r="C6" s="2"/>
      <c r="D6" s="49">
        <v>0.23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51</v>
      </c>
      <c r="C7" s="2"/>
      <c r="D7" s="49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52</v>
      </c>
      <c r="C8" s="2"/>
      <c r="D8" s="50">
        <v>0.82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53</v>
      </c>
      <c r="C9" s="2"/>
      <c r="D9" s="49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39</v>
      </c>
      <c r="B12" s="2"/>
      <c r="C12" s="26">
        <f>'BABA DCF'!D76</f>
        <v>214633.125</v>
      </c>
      <c r="D12" s="2"/>
      <c r="E12" s="2" t="s">
        <v>38</v>
      </c>
      <c r="F12" s="2"/>
      <c r="G12" s="26">
        <f>'BABA DCF'!D73/'BABA DCF'!D78</f>
        <v>42498.697539797395</v>
      </c>
      <c r="H12" s="2"/>
      <c r="I12" s="2" t="s">
        <v>54</v>
      </c>
      <c r="J12" s="2"/>
      <c r="K12" s="26">
        <f>G12+C12</f>
        <v>257131.8225397974</v>
      </c>
      <c r="L12" s="2"/>
    </row>
    <row r="13" spans="1:14" x14ac:dyDescent="0.25">
      <c r="A13" s="2" t="s">
        <v>55</v>
      </c>
      <c r="B13" s="2"/>
      <c r="C13" s="51">
        <f>C12/K12</f>
        <v>0.83472019480117166</v>
      </c>
      <c r="D13" s="2"/>
      <c r="E13" s="2" t="s">
        <v>56</v>
      </c>
      <c r="F13" s="2"/>
      <c r="G13" s="52">
        <f>G12/K12</f>
        <v>0.16527980519882826</v>
      </c>
      <c r="H13" s="2"/>
      <c r="I13" s="2"/>
      <c r="J13" s="2"/>
      <c r="K13" s="2"/>
      <c r="L13" s="2"/>
      <c r="M13" s="42"/>
    </row>
    <row r="14" spans="1:14" x14ac:dyDescent="0.25">
      <c r="A14" s="2" t="s">
        <v>57</v>
      </c>
      <c r="B14" s="2"/>
      <c r="C14" s="53">
        <f>D7+D8*(D9)</f>
        <v>9.0899999999999995E-2</v>
      </c>
      <c r="D14" s="2"/>
      <c r="E14" s="2" t="s">
        <v>58</v>
      </c>
      <c r="F14" s="2"/>
      <c r="G14" s="54">
        <v>5.3999999999999999E-2</v>
      </c>
      <c r="H14" s="2"/>
      <c r="I14" s="55" t="s">
        <v>1</v>
      </c>
      <c r="J14" s="56"/>
      <c r="K14" s="57">
        <f>C13*C14+G14*G13*(1-D6)</f>
        <v>8.2748400007593773E-2</v>
      </c>
      <c r="L14" s="2"/>
    </row>
    <row r="15" spans="1:14" x14ac:dyDescent="0.25">
      <c r="D15" s="42"/>
      <c r="G15" s="42"/>
      <c r="J15" s="42"/>
      <c r="M15" s="42"/>
    </row>
    <row r="16" spans="1:14" x14ac:dyDescent="0.25">
      <c r="A16" t="s">
        <v>48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</row>
    <row r="17" spans="4:13" x14ac:dyDescent="0.25">
      <c r="D17" s="42"/>
      <c r="G17" s="42"/>
      <c r="J17" s="42"/>
      <c r="M17" s="42"/>
    </row>
    <row r="21" spans="4:13" x14ac:dyDescent="0.25">
      <c r="D21" s="42"/>
      <c r="E21" s="42"/>
      <c r="F21" s="42"/>
      <c r="G21" s="42"/>
      <c r="H21" s="42"/>
      <c r="I21" s="42"/>
      <c r="J21" s="42"/>
      <c r="K21" s="42"/>
      <c r="L21" s="42"/>
      <c r="M21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BABA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2023-05-05T17:17:48Z</dcterms:modified>
</cp:coreProperties>
</file>