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7DC4A55F-755B-41A4-96CE-ABD9C7967994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KDP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3" i="1" l="1"/>
  <c r="L64" i="1"/>
  <c r="L67" i="1"/>
  <c r="L66" i="1"/>
  <c r="G51" i="1"/>
  <c r="H53" i="1"/>
  <c r="H51" i="1"/>
  <c r="D64" i="1"/>
  <c r="I16" i="1"/>
  <c r="J14" i="1"/>
  <c r="K14" i="1"/>
  <c r="L14" i="1"/>
  <c r="M14" i="1"/>
  <c r="N14" i="1"/>
  <c r="O14" i="1"/>
  <c r="P14" i="1"/>
  <c r="Q14" i="1"/>
  <c r="R14" i="1"/>
  <c r="I14" i="1"/>
  <c r="J45" i="1"/>
  <c r="K45" i="1"/>
  <c r="L45" i="1"/>
  <c r="M45" i="1"/>
  <c r="N45" i="1"/>
  <c r="O45" i="1"/>
  <c r="P45" i="1"/>
  <c r="Q45" i="1"/>
  <c r="R45" i="1"/>
  <c r="I45" i="1"/>
  <c r="J42" i="1"/>
  <c r="K42" i="1"/>
  <c r="L42" i="1"/>
  <c r="M42" i="1"/>
  <c r="N42" i="1"/>
  <c r="O42" i="1"/>
  <c r="P42" i="1"/>
  <c r="Q42" i="1"/>
  <c r="R42" i="1"/>
  <c r="I42" i="1"/>
  <c r="J30" i="1"/>
  <c r="I30" i="1"/>
  <c r="D31" i="1"/>
  <c r="E31" i="1"/>
  <c r="F31" i="1"/>
  <c r="G31" i="1"/>
  <c r="H31" i="1"/>
  <c r="C31" i="1"/>
  <c r="J11" i="1"/>
  <c r="K11" i="1"/>
  <c r="L11" i="1" s="1"/>
  <c r="M11" i="1" s="1"/>
  <c r="N11" i="1" s="1"/>
  <c r="O11" i="1" s="1"/>
  <c r="P11" i="1" s="1"/>
  <c r="Q11" i="1" s="1"/>
  <c r="R11" i="1" s="1"/>
  <c r="I11" i="1"/>
  <c r="C25" i="1"/>
  <c r="F51" i="1"/>
  <c r="F53" i="1"/>
  <c r="F33" i="1"/>
  <c r="F28" i="1"/>
  <c r="H33" i="1"/>
  <c r="G25" i="1"/>
  <c r="C16" i="1"/>
  <c r="D16" i="1"/>
  <c r="E16" i="1"/>
  <c r="F16" i="1"/>
  <c r="H16" i="1"/>
  <c r="G16" i="1"/>
  <c r="G28" i="1" s="1"/>
  <c r="I22" i="1"/>
  <c r="D23" i="1"/>
  <c r="E23" i="1"/>
  <c r="F23" i="1"/>
  <c r="G23" i="1"/>
  <c r="H23" i="1"/>
  <c r="C23" i="1"/>
  <c r="H12" i="1"/>
  <c r="F25" i="1"/>
  <c r="E25" i="1"/>
  <c r="D25" i="1"/>
  <c r="C17" i="1"/>
  <c r="H17" i="1"/>
  <c r="H25" i="1"/>
  <c r="H28" i="1" s="1"/>
  <c r="D65" i="1"/>
  <c r="C12" i="2" s="1"/>
  <c r="G12" i="2"/>
  <c r="D6" i="2"/>
  <c r="G20" i="1"/>
  <c r="F20" i="1"/>
  <c r="E20" i="1"/>
  <c r="D20" i="1"/>
  <c r="C20" i="1"/>
  <c r="H20" i="1"/>
  <c r="H43" i="1"/>
  <c r="G43" i="1"/>
  <c r="F43" i="1"/>
  <c r="E43" i="1"/>
  <c r="C14" i="2"/>
  <c r="D12" i="1"/>
  <c r="H49" i="1"/>
  <c r="C49" i="1"/>
  <c r="D49" i="1"/>
  <c r="E49" i="1"/>
  <c r="F49" i="1"/>
  <c r="G49" i="1"/>
  <c r="C46" i="1"/>
  <c r="D46" i="1"/>
  <c r="E46" i="1"/>
  <c r="F46" i="1"/>
  <c r="G46" i="1"/>
  <c r="H46" i="1"/>
  <c r="C43" i="1"/>
  <c r="D43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E28" i="1" l="1"/>
  <c r="E33" i="1" s="1"/>
  <c r="E53" i="1" s="1"/>
  <c r="C28" i="1"/>
  <c r="C33" i="1" s="1"/>
  <c r="C53" i="1" s="1"/>
  <c r="D28" i="1"/>
  <c r="D33" i="1" s="1"/>
  <c r="D53" i="1" s="1"/>
  <c r="G35" i="1"/>
  <c r="G33" i="1"/>
  <c r="G53" i="1" s="1"/>
  <c r="G17" i="1"/>
  <c r="J22" i="1"/>
  <c r="E17" i="1"/>
  <c r="H26" i="1"/>
  <c r="F26" i="1"/>
  <c r="D26" i="1"/>
  <c r="K12" i="2"/>
  <c r="G13" i="2" s="1"/>
  <c r="F17" i="1"/>
  <c r="D17" i="1"/>
  <c r="G26" i="1"/>
  <c r="E26" i="1"/>
  <c r="C26" i="1"/>
  <c r="K30" i="1" l="1"/>
  <c r="F35" i="1"/>
  <c r="F55" i="1" s="1"/>
  <c r="D35" i="1"/>
  <c r="K22" i="1"/>
  <c r="H35" i="1"/>
  <c r="H36" i="1" s="1"/>
  <c r="C13" i="2"/>
  <c r="K14" i="2" s="1"/>
  <c r="E5" i="1" s="1"/>
  <c r="E35" i="1"/>
  <c r="E51" i="1" s="1"/>
  <c r="C35" i="1"/>
  <c r="C51" i="1" s="1"/>
  <c r="F39" i="1"/>
  <c r="F36" i="1"/>
  <c r="L30" i="1" l="1"/>
  <c r="D51" i="1"/>
  <c r="D55" i="1" s="1"/>
  <c r="D36" i="1"/>
  <c r="D39" i="1"/>
  <c r="H39" i="1"/>
  <c r="L22" i="1"/>
  <c r="G55" i="1"/>
  <c r="H55" i="1"/>
  <c r="C55" i="1"/>
  <c r="E39" i="1"/>
  <c r="E55" i="1"/>
  <c r="G36" i="1"/>
  <c r="G39" i="1"/>
  <c r="E36" i="1"/>
  <c r="C39" i="1"/>
  <c r="C36" i="1"/>
  <c r="M30" i="1" l="1"/>
  <c r="M22" i="1"/>
  <c r="I48" i="1"/>
  <c r="N30" i="1" l="1"/>
  <c r="N22" i="1"/>
  <c r="J48" i="1"/>
  <c r="J19" i="1"/>
  <c r="I19" i="1"/>
  <c r="I25" i="1" s="1"/>
  <c r="I28" i="1" s="1"/>
  <c r="I33" i="1" s="1"/>
  <c r="J16" i="1"/>
  <c r="O30" i="1" l="1"/>
  <c r="J25" i="1"/>
  <c r="O22" i="1"/>
  <c r="K19" i="1"/>
  <c r="K48" i="1"/>
  <c r="K16" i="1"/>
  <c r="J26" i="1" l="1"/>
  <c r="J28" i="1"/>
  <c r="J33" i="1" s="1"/>
  <c r="P30" i="1"/>
  <c r="P22" i="1"/>
  <c r="K25" i="1"/>
  <c r="K28" i="1" s="1"/>
  <c r="K33" i="1" s="1"/>
  <c r="I26" i="1"/>
  <c r="L19" i="1"/>
  <c r="L48" i="1"/>
  <c r="L16" i="1"/>
  <c r="J35" i="1" l="1"/>
  <c r="R30" i="1"/>
  <c r="Q30" i="1"/>
  <c r="I35" i="1"/>
  <c r="K26" i="1"/>
  <c r="Q22" i="1"/>
  <c r="K35" i="1"/>
  <c r="L25" i="1"/>
  <c r="L28" i="1" s="1"/>
  <c r="L33" i="1" s="1"/>
  <c r="M19" i="1"/>
  <c r="M48" i="1"/>
  <c r="M16" i="1"/>
  <c r="J38" i="1" l="1"/>
  <c r="J53" i="1" s="1"/>
  <c r="K38" i="1"/>
  <c r="K53" i="1" s="1"/>
  <c r="K51" i="1"/>
  <c r="J36" i="1"/>
  <c r="I38" i="1"/>
  <c r="I53" i="1" s="1"/>
  <c r="K36" i="1"/>
  <c r="I36" i="1"/>
  <c r="L26" i="1"/>
  <c r="L35" i="1"/>
  <c r="M25" i="1"/>
  <c r="K55" i="1"/>
  <c r="K56" i="1" s="1"/>
  <c r="N19" i="1"/>
  <c r="N48" i="1"/>
  <c r="N16" i="1"/>
  <c r="L38" i="1" l="1"/>
  <c r="L53" i="1" s="1"/>
  <c r="M26" i="1"/>
  <c r="M28" i="1"/>
  <c r="M33" i="1" s="1"/>
  <c r="J51" i="1"/>
  <c r="J55" i="1" s="1"/>
  <c r="J56" i="1" s="1"/>
  <c r="I51" i="1"/>
  <c r="I55" i="1" s="1"/>
  <c r="I56" i="1" s="1"/>
  <c r="L36" i="1"/>
  <c r="N25" i="1"/>
  <c r="M35" i="1"/>
  <c r="O19" i="1"/>
  <c r="O16" i="1"/>
  <c r="O48" i="1"/>
  <c r="N26" i="1" l="1"/>
  <c r="N28" i="1"/>
  <c r="N33" i="1" s="1"/>
  <c r="L51" i="1"/>
  <c r="L55" i="1" s="1"/>
  <c r="L56" i="1" s="1"/>
  <c r="M36" i="1"/>
  <c r="O25" i="1"/>
  <c r="M38" i="1"/>
  <c r="M51" i="1" s="1"/>
  <c r="P19" i="1"/>
  <c r="P48" i="1"/>
  <c r="P16" i="1"/>
  <c r="M53" i="1" l="1"/>
  <c r="N35" i="1"/>
  <c r="O26" i="1"/>
  <c r="O28" i="1"/>
  <c r="O33" i="1" s="1"/>
  <c r="N36" i="1"/>
  <c r="P25" i="1"/>
  <c r="N38" i="1"/>
  <c r="N53" i="1" s="1"/>
  <c r="M55" i="1"/>
  <c r="M56" i="1" s="1"/>
  <c r="Q19" i="1"/>
  <c r="Q48" i="1"/>
  <c r="Q16" i="1"/>
  <c r="O35" i="1" l="1"/>
  <c r="P26" i="1"/>
  <c r="P28" i="1"/>
  <c r="P33" i="1" s="1"/>
  <c r="O53" i="1"/>
  <c r="N51" i="1"/>
  <c r="O36" i="1"/>
  <c r="N55" i="1"/>
  <c r="N56" i="1" s="1"/>
  <c r="Q25" i="1"/>
  <c r="O38" i="1"/>
  <c r="O51" i="1" s="1"/>
  <c r="P35" i="1"/>
  <c r="Q26" i="1" l="1"/>
  <c r="Q28" i="1"/>
  <c r="Q33" i="1" s="1"/>
  <c r="P36" i="1"/>
  <c r="O55" i="1"/>
  <c r="O56" i="1" s="1"/>
  <c r="P38" i="1"/>
  <c r="P51" i="1" s="1"/>
  <c r="Q35" i="1"/>
  <c r="P53" i="1" l="1"/>
  <c r="P55" i="1"/>
  <c r="P56" i="1" s="1"/>
  <c r="Q36" i="1"/>
  <c r="Q38" i="1"/>
  <c r="Q51" i="1" s="1"/>
  <c r="Q53" i="1" l="1"/>
  <c r="Q55" i="1"/>
  <c r="Q56" i="1" s="1"/>
  <c r="R22" i="1" l="1"/>
  <c r="R16" i="1"/>
  <c r="R19" i="1"/>
  <c r="R25" i="1" l="1"/>
  <c r="R48" i="1"/>
  <c r="R26" i="1" l="1"/>
  <c r="R28" i="1"/>
  <c r="R33" i="1" s="1"/>
  <c r="R35" i="1" l="1"/>
  <c r="R36" i="1" s="1"/>
  <c r="R38" i="1" l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BJ53" i="1" s="1"/>
  <c r="BK53" i="1" s="1"/>
  <c r="BL53" i="1" s="1"/>
  <c r="BM53" i="1" s="1"/>
  <c r="BN53" i="1" s="1"/>
  <c r="BO53" i="1" s="1"/>
  <c r="BP53" i="1" s="1"/>
  <c r="BQ53" i="1" s="1"/>
  <c r="BR53" i="1" s="1"/>
  <c r="BS53" i="1" s="1"/>
  <c r="BT53" i="1" s="1"/>
  <c r="BU53" i="1" s="1"/>
  <c r="BV53" i="1" s="1"/>
  <c r="BW53" i="1" s="1"/>
  <c r="BX53" i="1" s="1"/>
  <c r="BY53" i="1" s="1"/>
  <c r="BZ53" i="1" s="1"/>
  <c r="CA53" i="1" s="1"/>
  <c r="CB53" i="1" s="1"/>
  <c r="CC53" i="1" s="1"/>
  <c r="CD53" i="1" s="1"/>
  <c r="CE53" i="1" s="1"/>
  <c r="CF53" i="1" s="1"/>
  <c r="CG53" i="1" s="1"/>
  <c r="CH53" i="1" s="1"/>
  <c r="R51" i="1" l="1"/>
  <c r="R55" i="1" s="1"/>
  <c r="F58" i="1"/>
  <c r="H61" i="1" s="1"/>
  <c r="C58" i="1" l="1"/>
  <c r="C59" i="1" s="1"/>
  <c r="R56" i="1"/>
  <c r="H63" i="1"/>
  <c r="H66" i="1" s="1"/>
  <c r="G61" i="1" l="1"/>
  <c r="G63" i="1" s="1"/>
  <c r="G66" i="1" s="1"/>
  <c r="E66" i="1" s="1"/>
  <c r="J6" i="1" s="1"/>
  <c r="N5" i="1" s="1"/>
  <c r="L62" i="1" l="1"/>
</calcChain>
</file>

<file path=xl/sharedStrings.xml><?xml version="1.0" encoding="utf-8"?>
<sst xmlns="http://schemas.openxmlformats.org/spreadsheetml/2006/main" count="69" uniqueCount="56">
  <si>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</si>
  <si>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</si>
  <si>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</si>
  <si>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</si>
  <si>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</si>
  <si>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</si>
  <si>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</si>
  <si>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</si>
  <si>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</si>
  <si>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</si>
  <si>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</si>
  <si>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</si>
  <si>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 xml:space="preserve">Other 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</si>
  <si>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</si>
  <si>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</si>
  <si>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</si>
  <si>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</si>
  <si>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</si>
  <si>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</si>
  <si>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</si>
  <si>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</si>
  <si>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</si>
  <si>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</si>
  <si>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</si>
  <si>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</si>
  <si>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</si>
  <si>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</si>
  <si>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</si>
  <si>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</si>
  <si>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</si>
  <si>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</si>
  <si>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</si>
  <si>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</si>
  <si>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</si>
  <si>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</si>
  <si>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</si>
  <si>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</si>
  <si>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</si>
  <si>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</si>
  <si>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</si>
  <si>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</si>
  <si>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</si>
  <si>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</si>
  <si>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</si>
  <si>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</si>
  <si>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</si>
  <si>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</si>
  <si>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</si>
  <si>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</si>
  <si>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</si>
  <si>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</si>
  <si>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Date</t>
  </si>
  <si>
    <t>SG&amp;A</t>
  </si>
  <si>
    <t>Other expense</t>
  </si>
  <si>
    <t>NCI</t>
  </si>
  <si>
    <t>Keurig Dr. Pepper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</si>
</sst>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8" xfId="0" applyFont="1" applyFill="1" applyBorder="1"/>
    <xf numFmtId="0" fontId="3" fillId="2" borderId="9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3" fillId="2" borderId="10" xfId="0" applyFont="1" applyFill="1" applyBorder="1"/>
    <xf numFmtId="0" fontId="0" fillId="2" borderId="5" xfId="0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7" xfId="0" applyFill="1" applyBorder="1"/>
    <xf numFmtId="0" fontId="3" fillId="2" borderId="11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12" xfId="0" applyFont="1" applyFill="1" applyBorder="1"/>
    <xf numFmtId="0" fontId="0" fillId="2" borderId="13" xfId="0" applyFill="1" applyBorder="1"/>
    <xf numFmtId="10" fontId="2" fillId="2" borderId="14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1" fontId="3" fillId="2" borderId="15" xfId="0" applyNumberFormat="1" applyFont="1" applyFill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6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14" fontId="3" fillId="2" borderId="0" xfId="0" applyNumberFormat="1" applyFont="1" applyFill="1"/>
    <xf numFmtId="164" fontId="7" fillId="2" borderId="0" xfId="1" applyNumberFormat="1" applyFont="1" applyFill="1" applyBorder="1"/>
    <xf numFmtId="164" fontId="7" fillId="11" borderId="3" xfId="0" applyNumberFormat="1" applyFont="1" applyFill="1" applyBorder="1"/>
    <xf numFmtId="164" fontId="7" fillId="11" borderId="3" xfId="1" applyNumberFormat="1" applyFont="1" applyFill="1" applyBorder="1"/>
    <xf numFmtId="10" fontId="7" fillId="11" borderId="3" xfId="0" applyNumberFormat="1" applyFont="1" applyFill="1" applyBorder="1"/>
    <xf numFmtId="164" fontId="7" fillId="11" borderId="0" xfId="1" applyNumberFormat="1" applyFont="1" applyFill="1" applyBorder="1"/>
    <xf numFmtId="3" fontId="3" fillId="2" borderId="1" xfId="0" applyNumberFormat="1" applyFont="1" applyFill="1" applyBorder="1"/>
    <xf numFmtId="164" fontId="0" fillId="8" borderId="0" xfId="0" applyNumberFormat="1" applyFill="1" applyAlignment="1">
      <alignment horizontal="center"/>
    </xf>
    <xf numFmtId="164" fontId="7" fillId="12" borderId="0" xfId="1" applyNumberFormat="1" applyFont="1" applyFill="1"/>
    <xf numFmtId="164" fontId="3" fillId="12" borderId="0" xfId="1" applyNumberFormat="1" applyFont="1" applyFill="1"/>
    <xf numFmtId="10" fontId="3" fillId="2" borderId="0" xfId="0" applyNumberFormat="1" applyFont="1" applyFill="1"/>
    <xf numFmtId="10" fontId="7" fillId="11" borderId="0" xfId="0" applyNumberFormat="1" applyFont="1" applyFill="1"/>
    <xf numFmtId="164" fontId="7" fillId="11" borderId="0" xfId="0" applyNumberFormat="1" applyFont="1" applyFill="1"/>
    <xf numFmtId="1" fontId="3" fillId="2" borderId="16" xfId="0" applyNumberFormat="1" applyFont="1" applyFill="1" applyBorder="1"/>
    <xf numFmtId="1" fontId="3" fillId="2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7"/>
  <sheetViews>
    <sheetView tabSelected="1" topLeftCell="B1" zoomScaleNormal="100" workbookViewId="0">
      <selection activeCell="D10" sqref="D10"/>
    </sheetView>
  </sheetViews>
  <sheetFormatPr defaultRowHeight="15" x14ac:dyDescent="0.25"/>
  <cols>
    <col min="1" max="1" width="9.140625" style="2"/>
    <col min="2" max="2" width="17.28515625" style="2" customWidth="1"/>
    <col min="3" max="6" width="9.140625" style="2"/>
    <col min="7" max="7" width="10.140625" style="2" bestFit="1" customWidth="1"/>
    <col min="8" max="8" width="9.140625" style="2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7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7" customFormat="1" ht="23.25" x14ac:dyDescent="0.35">
      <c r="A2" s="3"/>
      <c r="B2" s="4" t="s">
        <v>55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6"/>
    </row>
    <row r="3" spans="1:18" s="57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7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7" customFormat="1" x14ac:dyDescent="0.25">
      <c r="A5" s="1"/>
      <c r="B5" s="1"/>
      <c r="C5" s="7" t="s">
        <v>1</v>
      </c>
      <c r="D5" s="1"/>
      <c r="E5" s="8">
        <f>WACC!K14</f>
        <v>7.2755035405550977E-2</v>
      </c>
      <c r="F5" s="2"/>
      <c r="G5" s="1"/>
      <c r="H5" s="1" t="s">
        <v>2</v>
      </c>
      <c r="I5" s="1"/>
      <c r="J5" s="7">
        <v>31.83</v>
      </c>
      <c r="K5" s="1"/>
      <c r="L5" s="1" t="s">
        <v>3</v>
      </c>
      <c r="M5" s="1"/>
      <c r="N5" s="7">
        <f>(J6/J5)-1</f>
        <v>0.18751263484588399</v>
      </c>
      <c r="O5" s="1"/>
      <c r="P5" s="1"/>
      <c r="Q5" s="1"/>
      <c r="R5" s="2"/>
    </row>
    <row r="6" spans="1:18" s="57" customFormat="1" x14ac:dyDescent="0.25">
      <c r="A6" s="1"/>
      <c r="B6" s="1"/>
      <c r="C6" s="7" t="s">
        <v>4</v>
      </c>
      <c r="D6" s="1"/>
      <c r="E6" s="8">
        <v>0.02</v>
      </c>
      <c r="F6" s="2"/>
      <c r="G6" s="1"/>
      <c r="H6" s="1" t="s">
        <v>5</v>
      </c>
      <c r="I6" s="1"/>
      <c r="J6" s="65">
        <f>E66</f>
        <v>37.798527167144485</v>
      </c>
      <c r="K6" s="1"/>
      <c r="L6" s="1"/>
      <c r="M6" s="1"/>
      <c r="N6" s="1"/>
      <c r="O6" s="1"/>
      <c r="P6" s="1"/>
      <c r="Q6" s="1"/>
      <c r="R6" s="2"/>
    </row>
    <row r="7" spans="1:18" s="57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9"/>
      <c r="L7" s="66"/>
      <c r="M7" s="1" t="s">
        <v>51</v>
      </c>
      <c r="N7" s="73">
        <v>45067</v>
      </c>
      <c r="O7" s="1"/>
      <c r="P7" s="1"/>
      <c r="Q7" s="1"/>
      <c r="R7" s="2"/>
    </row>
    <row r="8" spans="1:18" s="57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9"/>
      <c r="L8" s="1"/>
      <c r="M8" s="1"/>
      <c r="N8" s="1"/>
      <c r="O8" s="1"/>
      <c r="P8" s="1"/>
      <c r="Q8" s="1"/>
      <c r="R8" s="2"/>
    </row>
    <row r="9" spans="1:18" s="57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7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71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7" customFormat="1" x14ac:dyDescent="0.25">
      <c r="A11" s="1"/>
      <c r="B11" s="1" t="s">
        <v>7</v>
      </c>
      <c r="C11" s="11">
        <v>1170</v>
      </c>
      <c r="D11" s="11">
        <v>7442</v>
      </c>
      <c r="E11" s="11">
        <v>11120</v>
      </c>
      <c r="F11" s="11">
        <v>11618</v>
      </c>
      <c r="G11" s="11">
        <v>12683</v>
      </c>
      <c r="H11" s="11">
        <v>14057</v>
      </c>
      <c r="I11" s="21">
        <f>H11*(1+I12)</f>
        <v>14789.999999999998</v>
      </c>
      <c r="J11" s="19">
        <f t="shared" ref="J11:R11" si="1">I11*(1+J12)</f>
        <v>15440</v>
      </c>
      <c r="K11" s="19">
        <f t="shared" si="1"/>
        <v>16029.999999999998</v>
      </c>
      <c r="L11" s="19">
        <f t="shared" si="1"/>
        <v>16489.999999999996</v>
      </c>
      <c r="M11" s="19">
        <f t="shared" si="1"/>
        <v>17129.999999999996</v>
      </c>
      <c r="N11" s="19">
        <f t="shared" si="1"/>
        <v>18909.999999999996</v>
      </c>
      <c r="O11" s="19">
        <f t="shared" si="1"/>
        <v>19809.999999999996</v>
      </c>
      <c r="P11" s="19">
        <f t="shared" si="1"/>
        <v>20669.999999999996</v>
      </c>
      <c r="Q11" s="19">
        <f t="shared" si="1"/>
        <v>21489.999999999996</v>
      </c>
      <c r="R11" s="19">
        <f t="shared" si="1"/>
        <v>22349.599999999999</v>
      </c>
    </row>
    <row r="12" spans="1:18" s="57" customFormat="1" x14ac:dyDescent="0.25">
      <c r="A12" s="1"/>
      <c r="B12" s="13" t="s">
        <v>8</v>
      </c>
      <c r="C12" s="81"/>
      <c r="D12" s="81">
        <f>(D11/C11)-1</f>
        <v>5.3606837606837603</v>
      </c>
      <c r="E12" s="81">
        <f>(E11/D11)-1</f>
        <v>0.49422198333781231</v>
      </c>
      <c r="F12" s="81">
        <f>(F11/E11)-1</f>
        <v>4.4784172661870514E-2</v>
      </c>
      <c r="G12" s="81">
        <f>(G11/F11)-1</f>
        <v>9.1668101222241338E-2</v>
      </c>
      <c r="H12" s="81">
        <f>(H11/G11)-1</f>
        <v>0.1083339903808247</v>
      </c>
      <c r="I12" s="76">
        <v>5.2144838870313626E-2</v>
      </c>
      <c r="J12" s="78">
        <v>4.3948613928330049E-2</v>
      </c>
      <c r="K12" s="78">
        <v>3.8212435233160535E-2</v>
      </c>
      <c r="L12" s="78">
        <v>2.8696194635059236E-2</v>
      </c>
      <c r="M12" s="78">
        <v>3.8811400848999478E-2</v>
      </c>
      <c r="N12" s="78">
        <v>0.103911266783421</v>
      </c>
      <c r="O12" s="78">
        <v>4.7593865679534719E-2</v>
      </c>
      <c r="P12" s="78">
        <v>4.3412417970721817E-2</v>
      </c>
      <c r="Q12" s="78">
        <v>3.9671020803096368E-2</v>
      </c>
      <c r="R12" s="78">
        <v>0.04</v>
      </c>
    </row>
    <row r="13" spans="1:18" s="57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83"/>
      <c r="K13" s="83"/>
      <c r="L13" s="83"/>
      <c r="M13" s="83"/>
      <c r="N13" s="83"/>
      <c r="O13" s="83"/>
      <c r="P13" s="83"/>
      <c r="Q13" s="83"/>
      <c r="R13" s="83"/>
    </row>
    <row r="14" spans="1:18" s="57" customFormat="1" x14ac:dyDescent="0.25">
      <c r="A14" s="1"/>
      <c r="B14" s="1" t="s">
        <v>9</v>
      </c>
      <c r="C14" s="11">
        <v>643</v>
      </c>
      <c r="D14" s="11">
        <v>3560</v>
      </c>
      <c r="E14" s="11">
        <v>4778</v>
      </c>
      <c r="F14" s="11">
        <v>5132</v>
      </c>
      <c r="G14" s="11">
        <v>5706</v>
      </c>
      <c r="H14" s="11">
        <v>6734</v>
      </c>
      <c r="I14" s="86">
        <f>I11-I16</f>
        <v>6767.9039999999995</v>
      </c>
      <c r="J14" s="87">
        <f t="shared" ref="J14:R14" si="2">J11-J16</f>
        <v>6989.6880000000001</v>
      </c>
      <c r="K14" s="87">
        <f t="shared" si="2"/>
        <v>7211.896999999999</v>
      </c>
      <c r="L14" s="87">
        <f t="shared" si="2"/>
        <v>7123.6799999999985</v>
      </c>
      <c r="M14" s="87">
        <f t="shared" si="2"/>
        <v>7383.0299999999988</v>
      </c>
      <c r="N14" s="87">
        <f t="shared" si="2"/>
        <v>8131.2999999999993</v>
      </c>
      <c r="O14" s="87">
        <f t="shared" si="2"/>
        <v>8518.2999999999993</v>
      </c>
      <c r="P14" s="87">
        <f t="shared" si="2"/>
        <v>8888.0999999999985</v>
      </c>
      <c r="Q14" s="87">
        <f t="shared" si="2"/>
        <v>9240.6999999999989</v>
      </c>
      <c r="R14" s="87">
        <f t="shared" si="2"/>
        <v>9610.3280000000013</v>
      </c>
    </row>
    <row r="15" spans="1:18" s="57" customFormat="1" x14ac:dyDescent="0.25">
      <c r="A15" s="1"/>
      <c r="B15" s="18"/>
      <c r="C15" s="18"/>
      <c r="D15" s="18"/>
      <c r="E15" s="18"/>
      <c r="F15" s="18"/>
      <c r="G15" s="18"/>
      <c r="H15" s="18"/>
      <c r="I15" s="12"/>
      <c r="J15" s="1"/>
      <c r="K15" s="1"/>
      <c r="L15" s="1"/>
      <c r="M15" s="1"/>
      <c r="N15" s="1"/>
      <c r="O15" s="1"/>
      <c r="P15" s="1"/>
      <c r="Q15" s="1"/>
      <c r="R15" s="2"/>
    </row>
    <row r="16" spans="1:18" s="57" customFormat="1" x14ac:dyDescent="0.25">
      <c r="A16" s="1"/>
      <c r="B16" s="1" t="s">
        <v>10</v>
      </c>
      <c r="C16" s="11">
        <f t="shared" ref="C16:F16" si="3">C11-C14</f>
        <v>527</v>
      </c>
      <c r="D16" s="11">
        <f t="shared" si="3"/>
        <v>3882</v>
      </c>
      <c r="E16" s="11">
        <f t="shared" si="3"/>
        <v>6342</v>
      </c>
      <c r="F16" s="11">
        <f t="shared" si="3"/>
        <v>6486</v>
      </c>
      <c r="G16" s="11">
        <f>G11-G14</f>
        <v>6977</v>
      </c>
      <c r="H16" s="11">
        <f>H11-H14</f>
        <v>7323</v>
      </c>
      <c r="I16" s="21">
        <f>I11*I17</f>
        <v>8022.0959999999986</v>
      </c>
      <c r="J16" s="19">
        <f t="shared" ref="J16:R16" si="4">J11*J17</f>
        <v>8450.3119999999999</v>
      </c>
      <c r="K16" s="19">
        <f>K11*K17</f>
        <v>8818.1029999999992</v>
      </c>
      <c r="L16" s="19">
        <f t="shared" si="4"/>
        <v>9366.3199999999979</v>
      </c>
      <c r="M16" s="19">
        <f t="shared" si="4"/>
        <v>9746.9699999999975</v>
      </c>
      <c r="N16" s="19">
        <f t="shared" si="4"/>
        <v>10778.699999999997</v>
      </c>
      <c r="O16" s="19">
        <f t="shared" si="4"/>
        <v>11291.699999999997</v>
      </c>
      <c r="P16" s="19">
        <f t="shared" si="4"/>
        <v>11781.899999999998</v>
      </c>
      <c r="Q16" s="19">
        <f t="shared" si="4"/>
        <v>12249.299999999997</v>
      </c>
      <c r="R16" s="19">
        <f t="shared" si="4"/>
        <v>12739.271999999997</v>
      </c>
    </row>
    <row r="17" spans="1:18" s="57" customFormat="1" x14ac:dyDescent="0.25">
      <c r="A17" s="1"/>
      <c r="B17" s="13" t="s">
        <v>11</v>
      </c>
      <c r="C17" s="81">
        <f t="shared" ref="C17:H17" si="5">C16/C11</f>
        <v>0.45042735042735044</v>
      </c>
      <c r="D17" s="81">
        <f t="shared" si="5"/>
        <v>0.52163396936307449</v>
      </c>
      <c r="E17" s="81">
        <f t="shared" si="5"/>
        <v>0.5703237410071943</v>
      </c>
      <c r="F17" s="81">
        <f t="shared" si="5"/>
        <v>0.55827164744362201</v>
      </c>
      <c r="G17" s="81">
        <f t="shared" si="5"/>
        <v>0.55010644169360556</v>
      </c>
      <c r="H17" s="81">
        <f t="shared" si="5"/>
        <v>0.52095041616276583</v>
      </c>
      <c r="I17" s="77">
        <v>0.54239999999999999</v>
      </c>
      <c r="J17" s="84">
        <v>0.54730000000000001</v>
      </c>
      <c r="K17" s="84">
        <v>0.55010000000000003</v>
      </c>
      <c r="L17" s="84">
        <v>0.56799999999999995</v>
      </c>
      <c r="M17" s="84">
        <v>0.56899999999999995</v>
      </c>
      <c r="N17" s="84">
        <v>0.56999999999999995</v>
      </c>
      <c r="O17" s="84">
        <v>0.56999999999999995</v>
      </c>
      <c r="P17" s="84">
        <v>0.56999999999999995</v>
      </c>
      <c r="Q17" s="84">
        <v>0.56999999999999995</v>
      </c>
      <c r="R17" s="84">
        <v>0.56999999999999995</v>
      </c>
    </row>
    <row r="18" spans="1:18" s="57" customFormat="1" x14ac:dyDescent="0.25">
      <c r="A18" s="1"/>
      <c r="B18" s="1"/>
      <c r="C18" s="11"/>
      <c r="D18" s="11"/>
      <c r="E18" s="11"/>
      <c r="F18" s="11"/>
      <c r="G18" s="11"/>
      <c r="H18" s="11"/>
      <c r="I18" s="21"/>
      <c r="J18" s="19"/>
      <c r="K18" s="19"/>
      <c r="L18" s="19"/>
      <c r="M18" s="19"/>
      <c r="N18" s="19"/>
      <c r="O18" s="19"/>
      <c r="P18" s="19"/>
      <c r="Q18" s="19"/>
      <c r="R18" s="19"/>
    </row>
    <row r="19" spans="1:18" s="57" customFormat="1" x14ac:dyDescent="0.25">
      <c r="A19" s="1"/>
      <c r="B19" s="1" t="s">
        <v>52</v>
      </c>
      <c r="C19" s="11">
        <v>298</v>
      </c>
      <c r="D19" s="11">
        <v>2635</v>
      </c>
      <c r="E19" s="11">
        <v>3962</v>
      </c>
      <c r="F19" s="11">
        <v>3978</v>
      </c>
      <c r="G19" s="11">
        <v>4153</v>
      </c>
      <c r="H19" s="11">
        <v>4645</v>
      </c>
      <c r="I19" s="21">
        <f t="shared" ref="I19:R19" si="6">I20*I11</f>
        <v>4732.7999999999993</v>
      </c>
      <c r="J19" s="19">
        <f t="shared" si="6"/>
        <v>4940.8</v>
      </c>
      <c r="K19" s="19">
        <f t="shared" si="6"/>
        <v>5129.5999999999995</v>
      </c>
      <c r="L19" s="19">
        <f t="shared" si="6"/>
        <v>5276.7999999999993</v>
      </c>
      <c r="M19" s="19">
        <f t="shared" si="6"/>
        <v>5481.5999999999985</v>
      </c>
      <c r="N19" s="19">
        <f t="shared" si="6"/>
        <v>6051.1999999999989</v>
      </c>
      <c r="O19" s="19">
        <f t="shared" si="6"/>
        <v>6339.1999999999989</v>
      </c>
      <c r="P19" s="19">
        <f t="shared" si="6"/>
        <v>6614.3999999999987</v>
      </c>
      <c r="Q19" s="19">
        <f t="shared" si="6"/>
        <v>6876.7999999999993</v>
      </c>
      <c r="R19" s="19">
        <f t="shared" si="6"/>
        <v>7151.8719999999994</v>
      </c>
    </row>
    <row r="20" spans="1:18" s="57" customFormat="1" x14ac:dyDescent="0.25">
      <c r="A20" s="1"/>
      <c r="B20" s="13" t="s">
        <v>17</v>
      </c>
      <c r="C20" s="81">
        <f t="shared" ref="C20:H20" si="7">C19/C11</f>
        <v>0.25470085470085468</v>
      </c>
      <c r="D20" s="81">
        <f t="shared" si="7"/>
        <v>0.35407148615963452</v>
      </c>
      <c r="E20" s="81">
        <f t="shared" si="7"/>
        <v>0.35629496402877697</v>
      </c>
      <c r="F20" s="81">
        <f t="shared" si="7"/>
        <v>0.34239972456532969</v>
      </c>
      <c r="G20" s="81">
        <f t="shared" si="7"/>
        <v>0.32744618781045493</v>
      </c>
      <c r="H20" s="81">
        <f t="shared" si="7"/>
        <v>0.33044035000355693</v>
      </c>
      <c r="I20" s="76">
        <v>0.32</v>
      </c>
      <c r="J20" s="78">
        <v>0.32</v>
      </c>
      <c r="K20" s="78">
        <v>0.32</v>
      </c>
      <c r="L20" s="78">
        <v>0.32</v>
      </c>
      <c r="M20" s="78">
        <v>0.32</v>
      </c>
      <c r="N20" s="78">
        <v>0.32</v>
      </c>
      <c r="O20" s="78">
        <v>0.32</v>
      </c>
      <c r="P20" s="78">
        <v>0.32</v>
      </c>
      <c r="Q20" s="78">
        <v>0.32</v>
      </c>
      <c r="R20" s="78">
        <v>0.32</v>
      </c>
    </row>
    <row r="21" spans="1:18" s="57" customFormat="1" x14ac:dyDescent="0.25">
      <c r="A21" s="1"/>
      <c r="B21" s="1"/>
      <c r="C21" s="11"/>
      <c r="D21" s="11"/>
      <c r="E21" s="11"/>
      <c r="F21" s="11"/>
      <c r="G21" s="11"/>
      <c r="H21" s="11"/>
      <c r="I21" s="21"/>
      <c r="J21" s="19"/>
      <c r="K21" s="19"/>
      <c r="L21" s="19"/>
      <c r="M21" s="19"/>
      <c r="N21" s="19"/>
      <c r="O21" s="19"/>
      <c r="P21" s="19"/>
      <c r="Q21" s="19"/>
      <c r="R21" s="19"/>
    </row>
    <row r="22" spans="1:18" s="57" customFormat="1" x14ac:dyDescent="0.25">
      <c r="A22" s="1"/>
      <c r="B22" s="1" t="s">
        <v>12</v>
      </c>
      <c r="C22" s="11">
        <v>0</v>
      </c>
      <c r="D22" s="11">
        <v>10</v>
      </c>
      <c r="E22" s="11">
        <v>2</v>
      </c>
      <c r="F22" s="11">
        <v>28</v>
      </c>
      <c r="G22" s="11">
        <v>-70</v>
      </c>
      <c r="H22" s="11">
        <v>73</v>
      </c>
      <c r="I22" s="43">
        <f>I23*I11</f>
        <v>44.37</v>
      </c>
      <c r="J22" s="11">
        <f t="shared" ref="J22:R22" si="8">J23*J11</f>
        <v>46.32</v>
      </c>
      <c r="K22" s="11">
        <f t="shared" si="8"/>
        <v>48.089999999999996</v>
      </c>
      <c r="L22" s="11">
        <f t="shared" si="8"/>
        <v>49.469999999999992</v>
      </c>
      <c r="M22" s="11">
        <f t="shared" si="8"/>
        <v>51.389999999999993</v>
      </c>
      <c r="N22" s="11">
        <f t="shared" si="8"/>
        <v>56.72999999999999</v>
      </c>
      <c r="O22" s="11">
        <f t="shared" si="8"/>
        <v>59.429999999999993</v>
      </c>
      <c r="P22" s="11">
        <f t="shared" si="8"/>
        <v>62.009999999999991</v>
      </c>
      <c r="Q22" s="11">
        <f t="shared" si="8"/>
        <v>64.469999999999985</v>
      </c>
      <c r="R22" s="11">
        <f t="shared" si="8"/>
        <v>67.0488</v>
      </c>
    </row>
    <row r="23" spans="1:18" s="57" customFormat="1" x14ac:dyDescent="0.25">
      <c r="A23" s="1"/>
      <c r="B23" s="1" t="s">
        <v>17</v>
      </c>
      <c r="C23" s="81">
        <f>C22/C11</f>
        <v>0</v>
      </c>
      <c r="D23" s="81">
        <f t="shared" ref="D23:H23" si="9">D22/D11</f>
        <v>1.3437248051599033E-3</v>
      </c>
      <c r="E23" s="81">
        <f t="shared" si="9"/>
        <v>1.7985611510791367E-4</v>
      </c>
      <c r="F23" s="81">
        <f t="shared" si="9"/>
        <v>2.4100533654673783E-3</v>
      </c>
      <c r="G23" s="81">
        <f t="shared" si="9"/>
        <v>-5.5191989276984939E-3</v>
      </c>
      <c r="H23" s="81">
        <f t="shared" si="9"/>
        <v>5.1931422067297431E-3</v>
      </c>
      <c r="I23" s="76">
        <v>3.0000000000000001E-3</v>
      </c>
      <c r="J23" s="78">
        <v>3.0000000000000001E-3</v>
      </c>
      <c r="K23" s="78">
        <v>3.0000000000000001E-3</v>
      </c>
      <c r="L23" s="78">
        <v>3.0000000000000001E-3</v>
      </c>
      <c r="M23" s="78">
        <v>3.0000000000000001E-3</v>
      </c>
      <c r="N23" s="78">
        <v>3.0000000000000001E-3</v>
      </c>
      <c r="O23" s="78">
        <v>3.0000000000000001E-3</v>
      </c>
      <c r="P23" s="78">
        <v>3.0000000000000001E-3</v>
      </c>
      <c r="Q23" s="78">
        <v>3.0000000000000001E-3</v>
      </c>
      <c r="R23" s="78">
        <v>3.0000000000000001E-3</v>
      </c>
    </row>
    <row r="24" spans="1:18" s="57" customFormat="1" x14ac:dyDescent="0.25">
      <c r="A24" s="1"/>
      <c r="B24" s="1"/>
      <c r="C24" s="1"/>
      <c r="D24" s="1"/>
      <c r="E24" s="1"/>
      <c r="F24" s="1"/>
      <c r="G24" s="1"/>
      <c r="H24" s="1"/>
      <c r="I24" s="12"/>
      <c r="J24" s="1"/>
      <c r="K24" s="1"/>
      <c r="L24" s="1"/>
      <c r="M24" s="1"/>
      <c r="N24" s="1"/>
      <c r="O24" s="1"/>
      <c r="P24" s="1"/>
      <c r="Q24" s="1"/>
      <c r="R24" s="1"/>
    </row>
    <row r="25" spans="1:18" s="57" customFormat="1" x14ac:dyDescent="0.25">
      <c r="A25" s="1"/>
      <c r="B25" s="1" t="s">
        <v>13</v>
      </c>
      <c r="C25" s="11">
        <f>C19+C22</f>
        <v>298</v>
      </c>
      <c r="D25" s="11">
        <f t="shared" ref="D25:H25" si="10">D19+D22</f>
        <v>2645</v>
      </c>
      <c r="E25" s="11">
        <f t="shared" si="10"/>
        <v>3964</v>
      </c>
      <c r="F25" s="11">
        <f t="shared" si="10"/>
        <v>4006</v>
      </c>
      <c r="G25" s="11">
        <f>G19+G22</f>
        <v>4083</v>
      </c>
      <c r="H25" s="11">
        <f t="shared" si="10"/>
        <v>4718</v>
      </c>
      <c r="I25" s="43">
        <f t="shared" ref="I25:R25" si="11">I19+I22</f>
        <v>4777.1699999999992</v>
      </c>
      <c r="J25" s="11">
        <f t="shared" si="11"/>
        <v>4987.12</v>
      </c>
      <c r="K25" s="11">
        <f t="shared" si="11"/>
        <v>5177.6899999999996</v>
      </c>
      <c r="L25" s="11">
        <f t="shared" si="11"/>
        <v>5326.2699999999995</v>
      </c>
      <c r="M25" s="11">
        <f t="shared" si="11"/>
        <v>5532.9899999999989</v>
      </c>
      <c r="N25" s="11">
        <f t="shared" si="11"/>
        <v>6107.9299999999985</v>
      </c>
      <c r="O25" s="11">
        <f t="shared" si="11"/>
        <v>6398.6299999999992</v>
      </c>
      <c r="P25" s="11">
        <f t="shared" si="11"/>
        <v>6676.4099999999989</v>
      </c>
      <c r="Q25" s="11">
        <f t="shared" si="11"/>
        <v>6941.2699999999995</v>
      </c>
      <c r="R25" s="11">
        <f t="shared" si="11"/>
        <v>7218.920799999999</v>
      </c>
    </row>
    <row r="26" spans="1:18" s="57" customFormat="1" x14ac:dyDescent="0.25">
      <c r="A26" s="1"/>
      <c r="B26" s="13" t="s">
        <v>17</v>
      </c>
      <c r="C26" s="81">
        <f t="shared" ref="C26:R26" si="12">C25/C11</f>
        <v>0.25470085470085468</v>
      </c>
      <c r="D26" s="81">
        <f t="shared" si="12"/>
        <v>0.35541521096479439</v>
      </c>
      <c r="E26" s="81">
        <f t="shared" si="12"/>
        <v>0.35647482014388487</v>
      </c>
      <c r="F26" s="81">
        <f t="shared" si="12"/>
        <v>0.34480977793079703</v>
      </c>
      <c r="G26" s="81">
        <f t="shared" si="12"/>
        <v>0.32192698888275645</v>
      </c>
      <c r="H26" s="81">
        <f t="shared" si="12"/>
        <v>0.33563349221028671</v>
      </c>
      <c r="I26" s="76">
        <f t="shared" si="12"/>
        <v>0.32300000000000001</v>
      </c>
      <c r="J26" s="78">
        <f t="shared" si="12"/>
        <v>0.32300000000000001</v>
      </c>
      <c r="K26" s="78">
        <f t="shared" si="12"/>
        <v>0.32300000000000001</v>
      </c>
      <c r="L26" s="78">
        <f t="shared" si="12"/>
        <v>0.32300000000000006</v>
      </c>
      <c r="M26" s="78">
        <f t="shared" si="12"/>
        <v>0.32300000000000001</v>
      </c>
      <c r="N26" s="78">
        <f t="shared" si="12"/>
        <v>0.32299999999999995</v>
      </c>
      <c r="O26" s="78">
        <f t="shared" si="12"/>
        <v>0.32300000000000001</v>
      </c>
      <c r="P26" s="78">
        <f t="shared" si="12"/>
        <v>0.32300000000000001</v>
      </c>
      <c r="Q26" s="78">
        <f t="shared" si="12"/>
        <v>0.32300000000000001</v>
      </c>
      <c r="R26" s="78">
        <f t="shared" si="12"/>
        <v>0.32299999999999995</v>
      </c>
    </row>
    <row r="27" spans="1:18" s="57" customFormat="1" x14ac:dyDescent="0.25">
      <c r="A27" s="1"/>
      <c r="B27" s="1"/>
      <c r="C27" s="14"/>
      <c r="D27" s="14"/>
      <c r="E27" s="14"/>
      <c r="F27" s="14"/>
      <c r="G27" s="14"/>
      <c r="H27" s="14"/>
      <c r="I27" s="20"/>
      <c r="J27" s="74"/>
      <c r="K27" s="74"/>
      <c r="L27" s="74"/>
      <c r="M27" s="74"/>
      <c r="N27" s="74"/>
      <c r="O27" s="74"/>
      <c r="P27" s="74"/>
      <c r="Q27" s="74"/>
      <c r="R27" s="74"/>
    </row>
    <row r="28" spans="1:18" s="57" customFormat="1" x14ac:dyDescent="0.25">
      <c r="A28" s="1"/>
      <c r="B28" s="1" t="s">
        <v>14</v>
      </c>
      <c r="C28" s="11">
        <f t="shared" ref="C28:F28" si="13">C16-C25</f>
        <v>229</v>
      </c>
      <c r="D28" s="11">
        <f t="shared" si="13"/>
        <v>1237</v>
      </c>
      <c r="E28" s="11">
        <f t="shared" si="13"/>
        <v>2378</v>
      </c>
      <c r="F28" s="11">
        <f t="shared" si="13"/>
        <v>2480</v>
      </c>
      <c r="G28" s="11">
        <f>G16-G25</f>
        <v>2894</v>
      </c>
      <c r="H28" s="11">
        <f>H16-H25</f>
        <v>2605</v>
      </c>
      <c r="I28" s="43">
        <f t="shared" ref="I28:R28" si="14">I16-I25</f>
        <v>3244.9259999999995</v>
      </c>
      <c r="J28" s="11">
        <f t="shared" si="14"/>
        <v>3463.192</v>
      </c>
      <c r="K28" s="11">
        <f t="shared" si="14"/>
        <v>3640.4129999999996</v>
      </c>
      <c r="L28" s="11">
        <f t="shared" si="14"/>
        <v>4040.0499999999984</v>
      </c>
      <c r="M28" s="11">
        <f t="shared" si="14"/>
        <v>4213.9799999999987</v>
      </c>
      <c r="N28" s="11">
        <f t="shared" si="14"/>
        <v>4670.7699999999986</v>
      </c>
      <c r="O28" s="11">
        <f t="shared" si="14"/>
        <v>4893.0699999999979</v>
      </c>
      <c r="P28" s="11">
        <f t="shared" si="14"/>
        <v>5105.4899999999989</v>
      </c>
      <c r="Q28" s="11">
        <f t="shared" si="14"/>
        <v>5308.0299999999979</v>
      </c>
      <c r="R28" s="11">
        <f t="shared" si="14"/>
        <v>5520.3511999999982</v>
      </c>
    </row>
    <row r="29" spans="1:18" s="57" customFormat="1" x14ac:dyDescent="0.25">
      <c r="A29" s="1"/>
      <c r="B29" s="1"/>
      <c r="C29" s="11"/>
      <c r="D29" s="11"/>
      <c r="E29" s="11"/>
      <c r="F29" s="11"/>
      <c r="G29" s="11"/>
      <c r="H29" s="11"/>
      <c r="I29" s="43"/>
      <c r="J29" s="11"/>
      <c r="K29" s="11"/>
      <c r="L29" s="11"/>
      <c r="M29" s="11"/>
      <c r="N29" s="11"/>
      <c r="O29" s="11"/>
      <c r="P29" s="11"/>
      <c r="Q29" s="11"/>
      <c r="R29" s="11"/>
    </row>
    <row r="30" spans="1:18" s="57" customFormat="1" x14ac:dyDescent="0.25">
      <c r="A30" s="1"/>
      <c r="B30" s="1" t="s">
        <v>53</v>
      </c>
      <c r="C30" s="11">
        <v>47</v>
      </c>
      <c r="D30" s="11">
        <v>446</v>
      </c>
      <c r="E30" s="11">
        <v>684</v>
      </c>
      <c r="F30" s="11">
        <v>727</v>
      </c>
      <c r="G30" s="11">
        <v>96</v>
      </c>
      <c r="H30" s="11">
        <v>886</v>
      </c>
      <c r="I30" s="43">
        <f>I31*I11</f>
        <v>162.68999999999997</v>
      </c>
      <c r="J30" s="11">
        <f t="shared" ref="J30:R30" si="15">J31*J11</f>
        <v>185.28</v>
      </c>
      <c r="K30" s="11">
        <f t="shared" si="15"/>
        <v>216.40499999999997</v>
      </c>
      <c r="L30" s="11">
        <f t="shared" si="15"/>
        <v>593.63999999999987</v>
      </c>
      <c r="M30" s="11">
        <f t="shared" si="15"/>
        <v>513.89999999999986</v>
      </c>
      <c r="N30" s="11">
        <f t="shared" si="15"/>
        <v>75.639999999999986</v>
      </c>
      <c r="O30" s="11">
        <f t="shared" si="15"/>
        <v>713.15999999999985</v>
      </c>
      <c r="P30" s="11">
        <f t="shared" si="15"/>
        <v>744.11999999999978</v>
      </c>
      <c r="Q30" s="11">
        <f t="shared" si="15"/>
        <v>279.36999999999995</v>
      </c>
      <c r="R30" s="11">
        <f t="shared" si="15"/>
        <v>290.54479999999995</v>
      </c>
    </row>
    <row r="31" spans="1:18" s="57" customFormat="1" x14ac:dyDescent="0.25">
      <c r="A31" s="1"/>
      <c r="B31" s="13" t="s">
        <v>17</v>
      </c>
      <c r="C31" s="81">
        <f>C30/C11</f>
        <v>4.0170940170940174E-2</v>
      </c>
      <c r="D31" s="81">
        <f t="shared" ref="D31:H31" si="16">D30/D11</f>
        <v>5.9930126310131684E-2</v>
      </c>
      <c r="E31" s="81">
        <f t="shared" si="16"/>
        <v>6.1510791366906473E-2</v>
      </c>
      <c r="F31" s="81">
        <f t="shared" si="16"/>
        <v>6.2575314167670856E-2</v>
      </c>
      <c r="G31" s="81">
        <f t="shared" si="16"/>
        <v>7.5691871008436492E-3</v>
      </c>
      <c r="H31" s="81">
        <f t="shared" si="16"/>
        <v>6.3029095824144551E-2</v>
      </c>
      <c r="I31" s="76">
        <v>1.0999999999999999E-2</v>
      </c>
      <c r="J31" s="78">
        <v>1.2E-2</v>
      </c>
      <c r="K31" s="78">
        <v>1.35E-2</v>
      </c>
      <c r="L31" s="78">
        <v>3.5999999999999997E-2</v>
      </c>
      <c r="M31" s="78">
        <v>0.03</v>
      </c>
      <c r="N31" s="78">
        <v>4.0000000000000001E-3</v>
      </c>
      <c r="O31" s="78">
        <v>3.5999999999999997E-2</v>
      </c>
      <c r="P31" s="78">
        <v>3.5999999999999997E-2</v>
      </c>
      <c r="Q31" s="78">
        <v>1.2999999999999999E-2</v>
      </c>
      <c r="R31" s="78">
        <v>1.2999999999999999E-2</v>
      </c>
    </row>
    <row r="32" spans="1:18" s="57" customFormat="1" x14ac:dyDescent="0.25">
      <c r="A32" s="1"/>
      <c r="B32" s="1"/>
      <c r="C32" s="11"/>
      <c r="D32" s="11"/>
      <c r="E32" s="11"/>
      <c r="F32" s="11"/>
      <c r="G32" s="11"/>
      <c r="H32" s="11"/>
      <c r="I32" s="43"/>
      <c r="J32" s="11"/>
      <c r="K32" s="11"/>
      <c r="L32" s="11"/>
      <c r="M32" s="11"/>
      <c r="N32" s="11"/>
      <c r="O32" s="11"/>
      <c r="P32" s="11"/>
      <c r="Q32" s="11"/>
      <c r="R32" s="11"/>
    </row>
    <row r="33" spans="1:86" s="57" customFormat="1" x14ac:dyDescent="0.25">
      <c r="A33" s="1"/>
      <c r="B33" s="1" t="s">
        <v>15</v>
      </c>
      <c r="C33" s="11">
        <f t="shared" ref="C33:F33" si="17">C28-C30</f>
        <v>182</v>
      </c>
      <c r="D33" s="11">
        <f t="shared" si="17"/>
        <v>791</v>
      </c>
      <c r="E33" s="11">
        <f t="shared" si="17"/>
        <v>1694</v>
      </c>
      <c r="F33" s="11">
        <f t="shared" si="17"/>
        <v>1753</v>
      </c>
      <c r="G33" s="11">
        <f>G28-G30</f>
        <v>2798</v>
      </c>
      <c r="H33" s="11">
        <f>H28-H30</f>
        <v>1719</v>
      </c>
      <c r="I33" s="43">
        <f t="shared" ref="I33:R33" si="18">I28-I30</f>
        <v>3082.2359999999994</v>
      </c>
      <c r="J33" s="11">
        <f t="shared" si="18"/>
        <v>3277.9119999999998</v>
      </c>
      <c r="K33" s="11">
        <f t="shared" si="18"/>
        <v>3424.0079999999998</v>
      </c>
      <c r="L33" s="11">
        <f t="shared" si="18"/>
        <v>3446.4099999999985</v>
      </c>
      <c r="M33" s="11">
        <f t="shared" si="18"/>
        <v>3700.079999999999</v>
      </c>
      <c r="N33" s="11">
        <f t="shared" si="18"/>
        <v>4595.1299999999983</v>
      </c>
      <c r="O33" s="11">
        <f t="shared" si="18"/>
        <v>4179.909999999998</v>
      </c>
      <c r="P33" s="11">
        <f t="shared" si="18"/>
        <v>4361.369999999999</v>
      </c>
      <c r="Q33" s="11">
        <f t="shared" si="18"/>
        <v>5028.659999999998</v>
      </c>
      <c r="R33" s="11">
        <f t="shared" si="18"/>
        <v>5229.8063999999986</v>
      </c>
    </row>
    <row r="34" spans="1:86" s="57" customFormat="1" x14ac:dyDescent="0.25">
      <c r="A34" s="1"/>
      <c r="B34" s="1"/>
      <c r="C34" s="22"/>
      <c r="D34" s="22"/>
      <c r="E34" s="22"/>
      <c r="F34" s="22"/>
      <c r="G34" s="22"/>
      <c r="H34" s="22"/>
      <c r="I34" s="12"/>
      <c r="J34" s="1"/>
      <c r="K34" s="1"/>
      <c r="L34" s="1"/>
      <c r="M34" s="1"/>
      <c r="N34" s="1"/>
      <c r="O34" s="1"/>
      <c r="P34" s="1"/>
      <c r="Q34" s="1"/>
      <c r="R34" s="1"/>
    </row>
    <row r="35" spans="1:86" s="57" customFormat="1" x14ac:dyDescent="0.25">
      <c r="A35" s="1"/>
      <c r="B35" s="1" t="s">
        <v>16</v>
      </c>
      <c r="C35" s="11">
        <f t="shared" ref="C35:R35" si="19">C28</f>
        <v>229</v>
      </c>
      <c r="D35" s="11">
        <f t="shared" si="19"/>
        <v>1237</v>
      </c>
      <c r="E35" s="11">
        <f t="shared" si="19"/>
        <v>2378</v>
      </c>
      <c r="F35" s="11">
        <f t="shared" si="19"/>
        <v>2480</v>
      </c>
      <c r="G35" s="11">
        <f>G28</f>
        <v>2894</v>
      </c>
      <c r="H35" s="11">
        <f t="shared" si="19"/>
        <v>2605</v>
      </c>
      <c r="I35" s="43">
        <f t="shared" si="19"/>
        <v>3244.9259999999995</v>
      </c>
      <c r="J35" s="11">
        <f t="shared" si="19"/>
        <v>3463.192</v>
      </c>
      <c r="K35" s="11">
        <f t="shared" si="19"/>
        <v>3640.4129999999996</v>
      </c>
      <c r="L35" s="11">
        <f t="shared" si="19"/>
        <v>4040.0499999999984</v>
      </c>
      <c r="M35" s="11">
        <f t="shared" si="19"/>
        <v>4213.9799999999987</v>
      </c>
      <c r="N35" s="11">
        <f t="shared" si="19"/>
        <v>4670.7699999999986</v>
      </c>
      <c r="O35" s="11">
        <f t="shared" si="19"/>
        <v>4893.0699999999979</v>
      </c>
      <c r="P35" s="11">
        <f t="shared" si="19"/>
        <v>5105.4899999999989</v>
      </c>
      <c r="Q35" s="11">
        <f t="shared" si="19"/>
        <v>5308.0299999999979</v>
      </c>
      <c r="R35" s="11">
        <f t="shared" si="19"/>
        <v>5520.3511999999982</v>
      </c>
    </row>
    <row r="36" spans="1:86" s="57" customFormat="1" x14ac:dyDescent="0.25">
      <c r="A36" s="1"/>
      <c r="B36" s="13" t="s">
        <v>17</v>
      </c>
      <c r="C36" s="81">
        <f t="shared" ref="C36:R36" si="20">C35/C11</f>
        <v>0.19572649572649573</v>
      </c>
      <c r="D36" s="81">
        <f t="shared" si="20"/>
        <v>0.16621875839828004</v>
      </c>
      <c r="E36" s="81">
        <f t="shared" si="20"/>
        <v>0.21384892086330937</v>
      </c>
      <c r="F36" s="81">
        <f t="shared" si="20"/>
        <v>0.21346186951282492</v>
      </c>
      <c r="G36" s="81">
        <f t="shared" si="20"/>
        <v>0.22817945281084917</v>
      </c>
      <c r="H36" s="81">
        <f t="shared" si="20"/>
        <v>0.1853169239524792</v>
      </c>
      <c r="I36" s="76">
        <f t="shared" si="20"/>
        <v>0.21939999999999998</v>
      </c>
      <c r="J36" s="78">
        <f t="shared" si="20"/>
        <v>0.2243</v>
      </c>
      <c r="K36" s="78">
        <f t="shared" si="20"/>
        <v>0.2271</v>
      </c>
      <c r="L36" s="78">
        <f t="shared" si="20"/>
        <v>0.24499999999999997</v>
      </c>
      <c r="M36" s="78">
        <f t="shared" si="20"/>
        <v>0.24599999999999997</v>
      </c>
      <c r="N36" s="78">
        <f t="shared" si="20"/>
        <v>0.24699999999999997</v>
      </c>
      <c r="O36" s="78">
        <f t="shared" si="20"/>
        <v>0.24699999999999994</v>
      </c>
      <c r="P36" s="78">
        <f t="shared" si="20"/>
        <v>0.247</v>
      </c>
      <c r="Q36" s="78">
        <f t="shared" si="20"/>
        <v>0.24699999999999994</v>
      </c>
      <c r="R36" s="78">
        <f t="shared" si="20"/>
        <v>0.24699999999999994</v>
      </c>
    </row>
    <row r="37" spans="1:86" s="57" customFormat="1" x14ac:dyDescent="0.25">
      <c r="A37" s="1"/>
      <c r="B37" s="13"/>
      <c r="C37" s="1"/>
      <c r="D37" s="1"/>
      <c r="E37" s="1"/>
      <c r="F37" s="2"/>
      <c r="G37" s="1"/>
      <c r="H37" s="1"/>
      <c r="I37" s="12"/>
      <c r="J37" s="1"/>
      <c r="K37" s="1"/>
      <c r="L37" s="1"/>
      <c r="M37" s="1"/>
      <c r="N37" s="1"/>
      <c r="O37" s="1"/>
      <c r="P37" s="1"/>
      <c r="Q37" s="1"/>
      <c r="R37" s="1"/>
    </row>
    <row r="38" spans="1:86" s="57" customFormat="1" x14ac:dyDescent="0.25">
      <c r="A38" s="1"/>
      <c r="B38" s="1" t="s">
        <v>18</v>
      </c>
      <c r="C38" s="11">
        <v>-437</v>
      </c>
      <c r="D38" s="11">
        <v>202</v>
      </c>
      <c r="E38" s="11">
        <v>440</v>
      </c>
      <c r="F38" s="24">
        <v>428</v>
      </c>
      <c r="G38" s="11">
        <v>653</v>
      </c>
      <c r="H38" s="11">
        <v>284</v>
      </c>
      <c r="I38" s="21">
        <f>I35*I39</f>
        <v>713.88371999999993</v>
      </c>
      <c r="J38" s="19">
        <f t="shared" ref="J38:R38" si="21">J35*J39</f>
        <v>761.90224000000001</v>
      </c>
      <c r="K38" s="19">
        <f t="shared" si="21"/>
        <v>800.89085999999986</v>
      </c>
      <c r="L38" s="19">
        <f t="shared" si="21"/>
        <v>888.81099999999969</v>
      </c>
      <c r="M38" s="19">
        <f t="shared" si="21"/>
        <v>927.07559999999967</v>
      </c>
      <c r="N38" s="19">
        <f t="shared" si="21"/>
        <v>1027.5693999999996</v>
      </c>
      <c r="O38" s="19">
        <f t="shared" si="21"/>
        <v>1076.4753999999996</v>
      </c>
      <c r="P38" s="19">
        <f t="shared" si="21"/>
        <v>1123.2077999999997</v>
      </c>
      <c r="Q38" s="19">
        <f t="shared" si="21"/>
        <v>1167.7665999999995</v>
      </c>
      <c r="R38" s="19">
        <f t="shared" si="21"/>
        <v>1214.4772639999996</v>
      </c>
    </row>
    <row r="39" spans="1:86" s="57" customFormat="1" x14ac:dyDescent="0.25">
      <c r="A39" s="1"/>
      <c r="B39" s="13" t="s">
        <v>19</v>
      </c>
      <c r="C39" s="82">
        <f t="shared" ref="C39:H39" si="22">C38/C35</f>
        <v>-1.9082969432314409</v>
      </c>
      <c r="D39" s="82">
        <f t="shared" si="22"/>
        <v>0.16329830234438156</v>
      </c>
      <c r="E39" s="82">
        <f t="shared" si="22"/>
        <v>0.18502943650126155</v>
      </c>
      <c r="F39" s="82">
        <f t="shared" si="22"/>
        <v>0.17258064516129032</v>
      </c>
      <c r="G39" s="82">
        <f t="shared" si="22"/>
        <v>0.22563925362819626</v>
      </c>
      <c r="H39" s="82">
        <f t="shared" si="22"/>
        <v>0.109021113243762</v>
      </c>
      <c r="I39" s="77">
        <v>0.22</v>
      </c>
      <c r="J39" s="84">
        <v>0.22</v>
      </c>
      <c r="K39" s="84">
        <v>0.22</v>
      </c>
      <c r="L39" s="84">
        <v>0.22</v>
      </c>
      <c r="M39" s="84">
        <v>0.22</v>
      </c>
      <c r="N39" s="84">
        <v>0.22</v>
      </c>
      <c r="O39" s="84">
        <v>0.22</v>
      </c>
      <c r="P39" s="84">
        <v>0.22</v>
      </c>
      <c r="Q39" s="84">
        <v>0.22</v>
      </c>
      <c r="R39" s="84">
        <v>0.22</v>
      </c>
    </row>
    <row r="40" spans="1:86" s="57" customFormat="1" x14ac:dyDescent="0.25">
      <c r="A40" s="1"/>
      <c r="B40" s="1"/>
      <c r="C40" s="1"/>
      <c r="D40" s="1"/>
      <c r="E40" s="1"/>
      <c r="F40" s="1"/>
      <c r="G40" s="1"/>
      <c r="H40" s="1"/>
      <c r="I40" s="12"/>
      <c r="J40" s="1"/>
      <c r="K40" s="1"/>
      <c r="L40" s="1"/>
      <c r="M40" s="1"/>
      <c r="N40" s="1"/>
      <c r="O40" s="1"/>
      <c r="P40" s="1"/>
      <c r="Q40" s="1"/>
      <c r="R40" s="1"/>
    </row>
    <row r="41" spans="1:86" s="57" customFormat="1" x14ac:dyDescent="0.25">
      <c r="A41" s="1"/>
      <c r="B41" s="9" t="s">
        <v>20</v>
      </c>
      <c r="C41" s="9">
        <v>2017</v>
      </c>
      <c r="D41" s="9">
        <v>2018</v>
      </c>
      <c r="E41" s="9">
        <v>2019</v>
      </c>
      <c r="F41" s="9">
        <v>2020</v>
      </c>
      <c r="G41" s="9">
        <v>2021</v>
      </c>
      <c r="H41" s="9">
        <v>2022</v>
      </c>
      <c r="I41" s="72">
        <v>2023</v>
      </c>
      <c r="J41" s="9">
        <v>2024</v>
      </c>
      <c r="K41" s="9">
        <v>2025</v>
      </c>
      <c r="L41" s="9">
        <v>2026</v>
      </c>
      <c r="M41" s="9">
        <v>2027</v>
      </c>
      <c r="N41" s="9">
        <v>2028</v>
      </c>
      <c r="O41" s="9">
        <v>2029</v>
      </c>
      <c r="P41" s="9">
        <v>2030</v>
      </c>
      <c r="Q41" s="9">
        <v>2031</v>
      </c>
      <c r="R41" s="9">
        <v>2032</v>
      </c>
      <c r="S41" s="9">
        <v>2033</v>
      </c>
      <c r="T41" s="9">
        <v>2034</v>
      </c>
      <c r="U41" s="9">
        <v>2035</v>
      </c>
      <c r="V41" s="9">
        <v>2036</v>
      </c>
      <c r="W41" s="9">
        <v>2037</v>
      </c>
      <c r="X41" s="9">
        <v>2038</v>
      </c>
      <c r="Y41" s="9">
        <v>2039</v>
      </c>
      <c r="Z41" s="9">
        <v>2040</v>
      </c>
      <c r="AA41" s="9">
        <v>2041</v>
      </c>
      <c r="AB41" s="9">
        <v>2042</v>
      </c>
      <c r="AC41" s="9">
        <v>2043</v>
      </c>
      <c r="AD41" s="9">
        <v>2044</v>
      </c>
      <c r="AE41" s="9">
        <v>2045</v>
      </c>
      <c r="AF41" s="9">
        <v>2046</v>
      </c>
      <c r="AG41" s="9">
        <v>2047</v>
      </c>
      <c r="AH41" s="9">
        <v>2048</v>
      </c>
      <c r="AI41" s="9">
        <v>2049</v>
      </c>
      <c r="AJ41" s="9">
        <v>2050</v>
      </c>
      <c r="AK41" s="9">
        <v>2051</v>
      </c>
      <c r="AL41" s="9">
        <v>2052</v>
      </c>
      <c r="AM41" s="9">
        <v>2053</v>
      </c>
      <c r="AN41" s="9">
        <v>2054</v>
      </c>
      <c r="AO41" s="9">
        <v>2055</v>
      </c>
      <c r="AP41" s="9">
        <v>2056</v>
      </c>
      <c r="AQ41" s="9">
        <v>2057</v>
      </c>
      <c r="AR41" s="9">
        <v>2058</v>
      </c>
      <c r="AS41" s="9">
        <v>2059</v>
      </c>
      <c r="AT41" s="9">
        <v>2060</v>
      </c>
      <c r="AU41" s="9">
        <v>2061</v>
      </c>
      <c r="AV41" s="9">
        <v>2062</v>
      </c>
      <c r="AW41" s="9">
        <v>2063</v>
      </c>
      <c r="AX41" s="9">
        <v>2064</v>
      </c>
      <c r="AY41" s="9">
        <v>2065</v>
      </c>
      <c r="AZ41" s="9">
        <v>2066</v>
      </c>
      <c r="BA41" s="9">
        <v>2067</v>
      </c>
      <c r="BB41" s="9">
        <v>2068</v>
      </c>
      <c r="BC41" s="9">
        <v>2069</v>
      </c>
      <c r="BD41" s="9">
        <v>2070</v>
      </c>
      <c r="BE41" s="9">
        <v>2071</v>
      </c>
      <c r="BF41" s="9">
        <v>2072</v>
      </c>
      <c r="BG41" s="9">
        <v>2073</v>
      </c>
      <c r="BH41" s="9">
        <v>2074</v>
      </c>
      <c r="BI41" s="9">
        <v>2075</v>
      </c>
      <c r="BJ41" s="9">
        <v>2076</v>
      </c>
      <c r="BK41" s="9">
        <v>2077</v>
      </c>
      <c r="BL41" s="9">
        <v>2078</v>
      </c>
      <c r="BM41" s="9">
        <v>2079</v>
      </c>
      <c r="BN41" s="9">
        <v>2080</v>
      </c>
      <c r="BO41" s="9">
        <v>2081</v>
      </c>
      <c r="BP41" s="9">
        <v>2082</v>
      </c>
      <c r="BQ41" s="9">
        <v>2083</v>
      </c>
      <c r="BR41" s="9">
        <v>2084</v>
      </c>
      <c r="BS41" s="9">
        <v>2085</v>
      </c>
      <c r="BT41" s="9">
        <v>2086</v>
      </c>
      <c r="BU41" s="9">
        <v>2087</v>
      </c>
      <c r="BV41" s="9">
        <v>2088</v>
      </c>
      <c r="BW41" s="9">
        <v>2089</v>
      </c>
      <c r="BX41" s="9">
        <v>2090</v>
      </c>
      <c r="BY41" s="9">
        <v>2091</v>
      </c>
      <c r="BZ41" s="9">
        <v>2092</v>
      </c>
      <c r="CA41" s="9">
        <v>2093</v>
      </c>
      <c r="CB41" s="9">
        <v>2094</v>
      </c>
      <c r="CC41" s="9">
        <v>2095</v>
      </c>
      <c r="CD41" s="9">
        <v>2096</v>
      </c>
      <c r="CE41" s="9">
        <v>2097</v>
      </c>
      <c r="CF41" s="9">
        <v>2098</v>
      </c>
      <c r="CG41" s="9">
        <v>2099</v>
      </c>
      <c r="CH41" s="9">
        <v>2100</v>
      </c>
    </row>
    <row r="42" spans="1:86" s="57" customFormat="1" x14ac:dyDescent="0.25">
      <c r="A42" s="1"/>
      <c r="B42" s="1" t="s">
        <v>21</v>
      </c>
      <c r="C42" s="11">
        <v>66</v>
      </c>
      <c r="D42" s="11">
        <v>462</v>
      </c>
      <c r="E42" s="11">
        <v>698</v>
      </c>
      <c r="F42" s="24">
        <v>653</v>
      </c>
      <c r="G42" s="11">
        <v>708</v>
      </c>
      <c r="H42" s="11">
        <v>709</v>
      </c>
      <c r="I42" s="21">
        <f>I43*I11</f>
        <v>703.43</v>
      </c>
      <c r="J42" s="19">
        <f t="shared" ref="J42:R42" si="23">J43*J11</f>
        <v>736.57</v>
      </c>
      <c r="K42" s="19">
        <f t="shared" si="23"/>
        <v>796</v>
      </c>
      <c r="L42" s="19">
        <f t="shared" si="23"/>
        <v>942</v>
      </c>
      <c r="M42" s="19">
        <f t="shared" si="23"/>
        <v>991</v>
      </c>
      <c r="N42" s="19">
        <f t="shared" si="23"/>
        <v>1040</v>
      </c>
      <c r="O42" s="19">
        <f t="shared" si="23"/>
        <v>1090</v>
      </c>
      <c r="P42" s="19">
        <f t="shared" si="23"/>
        <v>1137.3195355880869</v>
      </c>
      <c r="Q42" s="19">
        <f t="shared" si="23"/>
        <v>1182.4381625441697</v>
      </c>
      <c r="R42" s="19">
        <f t="shared" si="23"/>
        <v>1229.7356890459366</v>
      </c>
    </row>
    <row r="43" spans="1:86" s="57" customFormat="1" x14ac:dyDescent="0.25">
      <c r="A43" s="1"/>
      <c r="B43" s="13" t="s">
        <v>17</v>
      </c>
      <c r="C43" s="81">
        <f t="shared" ref="C43:H43" si="24">C42/C11</f>
        <v>5.6410256410256411E-2</v>
      </c>
      <c r="D43" s="81">
        <f t="shared" si="24"/>
        <v>6.2080085998387532E-2</v>
      </c>
      <c r="E43" s="81">
        <f t="shared" si="24"/>
        <v>6.2769784172661866E-2</v>
      </c>
      <c r="F43" s="81">
        <f t="shared" si="24"/>
        <v>5.6205887416078501E-2</v>
      </c>
      <c r="G43" s="81">
        <f t="shared" si="24"/>
        <v>5.5822754868721909E-2</v>
      </c>
      <c r="H43" s="81">
        <f t="shared" si="24"/>
        <v>5.0437504446183397E-2</v>
      </c>
      <c r="I43" s="76">
        <v>4.7561189993238676E-2</v>
      </c>
      <c r="J43" s="78">
        <v>4.7705310880829022E-2</v>
      </c>
      <c r="K43" s="78">
        <v>4.9656893325015598E-2</v>
      </c>
      <c r="L43" s="78">
        <v>5.7125530624620995E-2</v>
      </c>
      <c r="M43" s="78">
        <v>5.7851722124927042E-2</v>
      </c>
      <c r="N43" s="78">
        <v>5.4997355896351151E-2</v>
      </c>
      <c r="O43" s="78">
        <v>5.5022715800100971E-2</v>
      </c>
      <c r="P43" s="78">
        <v>5.5022715800100971E-2</v>
      </c>
      <c r="Q43" s="78">
        <v>5.5022715800100971E-2</v>
      </c>
      <c r="R43" s="78">
        <v>5.5022715800100971E-2</v>
      </c>
    </row>
    <row r="44" spans="1:86" s="57" customFormat="1" x14ac:dyDescent="0.25">
      <c r="A44" s="1"/>
      <c r="B44" s="1"/>
      <c r="C44" s="1"/>
      <c r="D44" s="1"/>
      <c r="E44" s="1"/>
      <c r="F44" s="2"/>
      <c r="G44" s="1"/>
      <c r="H44" s="1"/>
      <c r="I44" s="12"/>
      <c r="J44" s="1"/>
      <c r="K44" s="1"/>
      <c r="L44" s="1"/>
      <c r="M44" s="1"/>
      <c r="N44" s="1"/>
      <c r="O44" s="1"/>
      <c r="P44" s="1"/>
      <c r="Q44" s="1"/>
      <c r="R44" s="1"/>
    </row>
    <row r="45" spans="1:86" s="57" customFormat="1" x14ac:dyDescent="0.25">
      <c r="A45" s="1"/>
      <c r="B45" s="1" t="s">
        <v>22</v>
      </c>
      <c r="C45" s="11">
        <v>-11</v>
      </c>
      <c r="D45" s="11">
        <v>-180</v>
      </c>
      <c r="E45" s="42">
        <v>-330</v>
      </c>
      <c r="F45" s="24">
        <v>-461</v>
      </c>
      <c r="G45" s="11">
        <v>-423</v>
      </c>
      <c r="H45" s="11">
        <v>-353</v>
      </c>
      <c r="I45" s="21">
        <f>I46*I11</f>
        <v>-474.00000000000006</v>
      </c>
      <c r="J45" s="19">
        <f t="shared" ref="J45:R45" si="25">J46*J11</f>
        <v>-482.45</v>
      </c>
      <c r="K45" s="19">
        <f t="shared" si="25"/>
        <v>-535.42999999999995</v>
      </c>
      <c r="L45" s="19">
        <f t="shared" si="25"/>
        <v>-565.21</v>
      </c>
      <c r="M45" s="19">
        <f t="shared" si="25"/>
        <v>-587</v>
      </c>
      <c r="N45" s="19">
        <f t="shared" si="25"/>
        <v>-662</v>
      </c>
      <c r="O45" s="19">
        <f t="shared" si="25"/>
        <v>-693</v>
      </c>
      <c r="P45" s="19">
        <f t="shared" si="25"/>
        <v>-723</v>
      </c>
      <c r="Q45" s="19">
        <f t="shared" si="25"/>
        <v>-752</v>
      </c>
      <c r="R45" s="19">
        <f t="shared" si="25"/>
        <v>-627</v>
      </c>
    </row>
    <row r="46" spans="1:86" s="57" customFormat="1" x14ac:dyDescent="0.25">
      <c r="A46" s="1"/>
      <c r="B46" s="13" t="s">
        <v>17</v>
      </c>
      <c r="C46" s="81">
        <f t="shared" ref="C46:H46" si="26">C45/C11</f>
        <v>-9.4017094017094013E-3</v>
      </c>
      <c r="D46" s="81">
        <f t="shared" si="26"/>
        <v>-2.4187046492878259E-2</v>
      </c>
      <c r="E46" s="81">
        <f t="shared" si="26"/>
        <v>-2.9676258992805755E-2</v>
      </c>
      <c r="F46" s="81">
        <f t="shared" si="26"/>
        <v>-3.9679807195730762E-2</v>
      </c>
      <c r="G46" s="81">
        <f t="shared" si="26"/>
        <v>-3.3351730663092327E-2</v>
      </c>
      <c r="H46" s="81">
        <f t="shared" si="26"/>
        <v>-2.5112043821583552E-2</v>
      </c>
      <c r="I46" s="76">
        <v>-3.2048681541582157E-2</v>
      </c>
      <c r="J46" s="78">
        <v>-3.1246761658031086E-2</v>
      </c>
      <c r="K46" s="78">
        <v>-3.3401746724890831E-2</v>
      </c>
      <c r="L46" s="78">
        <v>-3.4275924802910862E-2</v>
      </c>
      <c r="M46" s="78">
        <v>-3.4267367192060721E-2</v>
      </c>
      <c r="N46" s="78">
        <v>-3.5007932310946593E-2</v>
      </c>
      <c r="O46" s="78">
        <v>-3.4982332155477039E-2</v>
      </c>
      <c r="P46" s="78">
        <v>-3.4978229317851967E-2</v>
      </c>
      <c r="Q46" s="78">
        <v>-3.4993020009306659E-2</v>
      </c>
      <c r="R46" s="78">
        <v>-2.805419336363962E-2</v>
      </c>
    </row>
    <row r="47" spans="1:86" s="57" customFormat="1" x14ac:dyDescent="0.25">
      <c r="A47" s="1"/>
      <c r="B47" s="1"/>
      <c r="C47" s="1"/>
      <c r="D47" s="1"/>
      <c r="E47" s="1"/>
      <c r="F47" s="2"/>
      <c r="G47" s="1"/>
      <c r="H47" s="1"/>
      <c r="I47" s="12"/>
      <c r="J47" s="1"/>
      <c r="K47" s="1"/>
      <c r="L47" s="1"/>
      <c r="M47" s="1"/>
      <c r="N47" s="1"/>
      <c r="O47" s="1"/>
      <c r="P47" s="1"/>
      <c r="Q47" s="1"/>
      <c r="R47" s="1"/>
    </row>
    <row r="48" spans="1:86" s="57" customFormat="1" x14ac:dyDescent="0.25">
      <c r="A48" s="1"/>
      <c r="B48" s="1" t="s">
        <v>23</v>
      </c>
      <c r="C48" s="1">
        <v>147</v>
      </c>
      <c r="D48" s="1">
        <v>457</v>
      </c>
      <c r="E48" s="1">
        <v>366</v>
      </c>
      <c r="F48" s="2">
        <v>166</v>
      </c>
      <c r="G48" s="1">
        <v>351</v>
      </c>
      <c r="H48" s="1">
        <v>-275</v>
      </c>
      <c r="I48" s="21">
        <f t="shared" ref="I48:R48" si="27">I49*I11</f>
        <v>-192.26999999999995</v>
      </c>
      <c r="J48" s="19">
        <f t="shared" si="27"/>
        <v>308.8</v>
      </c>
      <c r="K48" s="19">
        <f t="shared" si="27"/>
        <v>320.59999999999997</v>
      </c>
      <c r="L48" s="19">
        <f t="shared" si="27"/>
        <v>329.79999999999995</v>
      </c>
      <c r="M48" s="19">
        <f t="shared" si="27"/>
        <v>342.59999999999991</v>
      </c>
      <c r="N48" s="19">
        <f t="shared" si="27"/>
        <v>378.19999999999993</v>
      </c>
      <c r="O48" s="19">
        <f t="shared" si="27"/>
        <v>396.19999999999993</v>
      </c>
      <c r="P48" s="19">
        <f t="shared" si="27"/>
        <v>413.39999999999992</v>
      </c>
      <c r="Q48" s="19">
        <f t="shared" si="27"/>
        <v>429.79999999999995</v>
      </c>
      <c r="R48" s="19">
        <f t="shared" si="27"/>
        <v>446.99199999999996</v>
      </c>
    </row>
    <row r="49" spans="1:86" s="57" customFormat="1" x14ac:dyDescent="0.25">
      <c r="A49" s="1"/>
      <c r="B49" s="13" t="s">
        <v>17</v>
      </c>
      <c r="C49" s="81">
        <f t="shared" ref="C49:H49" si="28">C48/C11</f>
        <v>0.12564102564102564</v>
      </c>
      <c r="D49" s="81">
        <f t="shared" si="28"/>
        <v>6.1408223595807582E-2</v>
      </c>
      <c r="E49" s="81">
        <f t="shared" si="28"/>
        <v>3.2913669064748199E-2</v>
      </c>
      <c r="F49" s="81">
        <f t="shared" si="28"/>
        <v>1.4288173523842315E-2</v>
      </c>
      <c r="G49" s="81">
        <f t="shared" si="28"/>
        <v>2.7674840337459591E-2</v>
      </c>
      <c r="H49" s="81">
        <f t="shared" si="28"/>
        <v>-1.9563206943159991E-2</v>
      </c>
      <c r="I49" s="75">
        <v>-1.2999999999999999E-2</v>
      </c>
      <c r="J49" s="85">
        <v>0.02</v>
      </c>
      <c r="K49" s="85">
        <v>0.02</v>
      </c>
      <c r="L49" s="85">
        <v>0.02</v>
      </c>
      <c r="M49" s="85">
        <v>0.02</v>
      </c>
      <c r="N49" s="85">
        <v>0.02</v>
      </c>
      <c r="O49" s="85">
        <v>0.02</v>
      </c>
      <c r="P49" s="85">
        <v>0.02</v>
      </c>
      <c r="Q49" s="85">
        <v>0.02</v>
      </c>
      <c r="R49" s="85">
        <v>0.02</v>
      </c>
    </row>
    <row r="50" spans="1:86" s="57" customFormat="1" x14ac:dyDescent="0.25">
      <c r="A50" s="1"/>
      <c r="B50" s="1"/>
      <c r="C50" s="1"/>
      <c r="D50" s="1"/>
      <c r="E50" s="1"/>
      <c r="F50" s="1"/>
      <c r="G50" s="1"/>
      <c r="H50" s="1"/>
      <c r="I50" s="12"/>
      <c r="J50" s="1"/>
      <c r="K50" s="1"/>
      <c r="L50" s="1"/>
      <c r="M50" s="1"/>
      <c r="N50" s="1"/>
      <c r="O50" s="1"/>
      <c r="P50" s="1"/>
      <c r="Q50" s="1"/>
      <c r="R50" s="1"/>
    </row>
    <row r="51" spans="1:86" s="57" customFormat="1" x14ac:dyDescent="0.25">
      <c r="A51" s="1"/>
      <c r="B51" s="9" t="s">
        <v>24</v>
      </c>
      <c r="C51" s="11">
        <f t="shared" ref="C51:F51" si="29">C35-C38</f>
        <v>666</v>
      </c>
      <c r="D51" s="11">
        <f t="shared" si="29"/>
        <v>1035</v>
      </c>
      <c r="E51" s="11">
        <f t="shared" si="29"/>
        <v>1938</v>
      </c>
      <c r="F51" s="11">
        <f t="shared" si="29"/>
        <v>2052</v>
      </c>
      <c r="G51" s="11">
        <f>G35-G38</f>
        <v>2241</v>
      </c>
      <c r="H51" s="11">
        <f>H35-H38</f>
        <v>2321</v>
      </c>
      <c r="I51" s="43">
        <f>I35-I38</f>
        <v>2531.0422799999997</v>
      </c>
      <c r="J51" s="11">
        <f t="shared" ref="J51:R51" si="30">J35-J38</f>
        <v>2701.2897600000001</v>
      </c>
      <c r="K51" s="11">
        <f t="shared" si="30"/>
        <v>2839.5221399999996</v>
      </c>
      <c r="L51" s="11">
        <f t="shared" si="30"/>
        <v>3151.2389999999987</v>
      </c>
      <c r="M51" s="11">
        <f t="shared" si="30"/>
        <v>3286.904399999999</v>
      </c>
      <c r="N51" s="11">
        <f t="shared" si="30"/>
        <v>3643.2005999999992</v>
      </c>
      <c r="O51" s="11">
        <f t="shared" si="30"/>
        <v>3816.5945999999985</v>
      </c>
      <c r="P51" s="11">
        <f t="shared" si="30"/>
        <v>3982.2821999999992</v>
      </c>
      <c r="Q51" s="11">
        <f t="shared" si="30"/>
        <v>4140.263399999998</v>
      </c>
      <c r="R51" s="11">
        <f t="shared" si="30"/>
        <v>4305.8739359999981</v>
      </c>
    </row>
    <row r="52" spans="1:86" s="57" customFormat="1" x14ac:dyDescent="0.25">
      <c r="A52" s="1"/>
      <c r="B52" s="9" t="s">
        <v>54</v>
      </c>
      <c r="C52" s="11">
        <v>7</v>
      </c>
      <c r="D52" s="11">
        <v>3</v>
      </c>
      <c r="E52" s="11">
        <v>0</v>
      </c>
      <c r="F52" s="11">
        <v>0</v>
      </c>
      <c r="G52" s="11">
        <v>-1</v>
      </c>
      <c r="H52" s="11">
        <v>-1</v>
      </c>
      <c r="I52" s="43"/>
      <c r="J52" s="11"/>
      <c r="K52" s="11"/>
      <c r="L52" s="11"/>
      <c r="M52" s="11"/>
      <c r="N52" s="11"/>
      <c r="O52" s="11"/>
      <c r="P52" s="11"/>
      <c r="Q52" s="11"/>
      <c r="R52" s="11"/>
    </row>
    <row r="53" spans="1:86" s="57" customFormat="1" x14ac:dyDescent="0.25">
      <c r="A53" s="1"/>
      <c r="B53" s="9" t="s">
        <v>25</v>
      </c>
      <c r="C53" s="11">
        <f t="shared" ref="C53:F53" si="31">C33-C38-C52</f>
        <v>612</v>
      </c>
      <c r="D53" s="11">
        <f t="shared" si="31"/>
        <v>586</v>
      </c>
      <c r="E53" s="11">
        <f t="shared" si="31"/>
        <v>1254</v>
      </c>
      <c r="F53" s="11">
        <f t="shared" si="31"/>
        <v>1325</v>
      </c>
      <c r="G53" s="11">
        <f>G33-G38-G52</f>
        <v>2146</v>
      </c>
      <c r="H53" s="11">
        <f>H33-H38-H52</f>
        <v>1436</v>
      </c>
      <c r="I53" s="43">
        <f t="shared" ref="I53:R53" si="32">I33-I38-I52</f>
        <v>2368.3522799999996</v>
      </c>
      <c r="J53" s="11">
        <f t="shared" si="32"/>
        <v>2516.0097599999999</v>
      </c>
      <c r="K53" s="11">
        <f t="shared" si="32"/>
        <v>2623.1171399999998</v>
      </c>
      <c r="L53" s="11">
        <f t="shared" si="32"/>
        <v>2557.5989999999988</v>
      </c>
      <c r="M53" s="11">
        <f t="shared" si="32"/>
        <v>2773.0043999999994</v>
      </c>
      <c r="N53" s="11">
        <f t="shared" si="32"/>
        <v>3567.5605999999989</v>
      </c>
      <c r="O53" s="11">
        <f t="shared" si="32"/>
        <v>3103.4345999999987</v>
      </c>
      <c r="P53" s="11">
        <f t="shared" si="32"/>
        <v>3238.1621999999993</v>
      </c>
      <c r="Q53" s="11">
        <f t="shared" si="32"/>
        <v>3860.8933999999986</v>
      </c>
      <c r="R53" s="11">
        <f t="shared" si="32"/>
        <v>4015.3291359999989</v>
      </c>
      <c r="S53" s="58">
        <f>R53*(1+$E$6)</f>
        <v>4095.6357187199987</v>
      </c>
      <c r="T53" s="58">
        <f t="shared" ref="T53:CE53" si="33">S53*(1+$E$6)</f>
        <v>4177.5484330943991</v>
      </c>
      <c r="U53" s="58">
        <f t="shared" si="33"/>
        <v>4261.0994017562871</v>
      </c>
      <c r="V53" s="58">
        <f t="shared" si="33"/>
        <v>4346.3213897914129</v>
      </c>
      <c r="W53" s="58">
        <f t="shared" si="33"/>
        <v>4433.2478175872411</v>
      </c>
      <c r="X53" s="58">
        <f t="shared" si="33"/>
        <v>4521.912773938986</v>
      </c>
      <c r="Y53" s="58">
        <f t="shared" si="33"/>
        <v>4612.3510294177659</v>
      </c>
      <c r="Z53" s="58">
        <f t="shared" si="33"/>
        <v>4704.5980500061214</v>
      </c>
      <c r="AA53" s="58">
        <f t="shared" si="33"/>
        <v>4798.6900110062443</v>
      </c>
      <c r="AB53" s="58">
        <f t="shared" si="33"/>
        <v>4894.663811226369</v>
      </c>
      <c r="AC53" s="58">
        <f t="shared" si="33"/>
        <v>4992.5570874508967</v>
      </c>
      <c r="AD53" s="58">
        <f t="shared" si="33"/>
        <v>5092.4082291999148</v>
      </c>
      <c r="AE53" s="58">
        <f t="shared" si="33"/>
        <v>5194.2563937839132</v>
      </c>
      <c r="AF53" s="58">
        <f t="shared" si="33"/>
        <v>5298.1415216595915</v>
      </c>
      <c r="AG53" s="58">
        <f t="shared" si="33"/>
        <v>5404.1043520927833</v>
      </c>
      <c r="AH53" s="58">
        <f t="shared" si="33"/>
        <v>5512.1864391346389</v>
      </c>
      <c r="AI53" s="58">
        <f t="shared" si="33"/>
        <v>5622.4301679173323</v>
      </c>
      <c r="AJ53" s="58">
        <f t="shared" si="33"/>
        <v>5734.8787712756794</v>
      </c>
      <c r="AK53" s="58">
        <f t="shared" si="33"/>
        <v>5849.576346701193</v>
      </c>
      <c r="AL53" s="58">
        <f t="shared" si="33"/>
        <v>5966.5678736352165</v>
      </c>
      <c r="AM53" s="58">
        <f t="shared" si="33"/>
        <v>6085.899231107921</v>
      </c>
      <c r="AN53" s="58">
        <f t="shared" si="33"/>
        <v>6207.6172157300798</v>
      </c>
      <c r="AO53" s="58">
        <f t="shared" si="33"/>
        <v>6331.7695600446814</v>
      </c>
      <c r="AP53" s="58">
        <f t="shared" si="33"/>
        <v>6458.4049512455749</v>
      </c>
      <c r="AQ53" s="58">
        <f t="shared" si="33"/>
        <v>6587.5730502704864</v>
      </c>
      <c r="AR53" s="58">
        <f t="shared" si="33"/>
        <v>6719.3245112758959</v>
      </c>
      <c r="AS53" s="58">
        <f t="shared" si="33"/>
        <v>6853.7110015014141</v>
      </c>
      <c r="AT53" s="58">
        <f t="shared" si="33"/>
        <v>6990.7852215314424</v>
      </c>
      <c r="AU53" s="58">
        <f t="shared" si="33"/>
        <v>7130.6009259620714</v>
      </c>
      <c r="AV53" s="58">
        <f t="shared" si="33"/>
        <v>7273.2129444813127</v>
      </c>
      <c r="AW53" s="58">
        <f t="shared" si="33"/>
        <v>7418.6772033709394</v>
      </c>
      <c r="AX53" s="58">
        <f t="shared" si="33"/>
        <v>7567.0507474383585</v>
      </c>
      <c r="AY53" s="58">
        <f t="shared" si="33"/>
        <v>7718.3917623871257</v>
      </c>
      <c r="AZ53" s="58">
        <f t="shared" si="33"/>
        <v>7872.7595976348684</v>
      </c>
      <c r="BA53" s="58">
        <f t="shared" si="33"/>
        <v>8030.214789587566</v>
      </c>
      <c r="BB53" s="58">
        <f t="shared" si="33"/>
        <v>8190.8190853793176</v>
      </c>
      <c r="BC53" s="58">
        <f t="shared" si="33"/>
        <v>8354.6354670869041</v>
      </c>
      <c r="BD53" s="58">
        <f t="shared" si="33"/>
        <v>8521.7281764286417</v>
      </c>
      <c r="BE53" s="58">
        <f t="shared" si="33"/>
        <v>8692.1627399572153</v>
      </c>
      <c r="BF53" s="58">
        <f t="shared" si="33"/>
        <v>8866.0059947563605</v>
      </c>
      <c r="BG53" s="58">
        <f t="shared" si="33"/>
        <v>9043.3261146514869</v>
      </c>
      <c r="BH53" s="58">
        <f t="shared" si="33"/>
        <v>9224.1926369445173</v>
      </c>
      <c r="BI53" s="58">
        <f t="shared" si="33"/>
        <v>9408.6764896834084</v>
      </c>
      <c r="BJ53" s="58">
        <f t="shared" si="33"/>
        <v>9596.8500194770768</v>
      </c>
      <c r="BK53" s="58">
        <f t="shared" si="33"/>
        <v>9788.7870198666187</v>
      </c>
      <c r="BL53" s="58">
        <f t="shared" si="33"/>
        <v>9984.5627602639506</v>
      </c>
      <c r="BM53" s="58">
        <f t="shared" si="33"/>
        <v>10184.254015469231</v>
      </c>
      <c r="BN53" s="58">
        <f t="shared" si="33"/>
        <v>10387.939095778615</v>
      </c>
      <c r="BO53" s="58">
        <f t="shared" si="33"/>
        <v>10595.697877694187</v>
      </c>
      <c r="BP53" s="58">
        <f t="shared" si="33"/>
        <v>10807.611835248072</v>
      </c>
      <c r="BQ53" s="58">
        <f t="shared" si="33"/>
        <v>11023.764071953034</v>
      </c>
      <c r="BR53" s="58">
        <f t="shared" si="33"/>
        <v>11244.239353392095</v>
      </c>
      <c r="BS53" s="58">
        <f t="shared" si="33"/>
        <v>11469.124140459937</v>
      </c>
      <c r="BT53" s="58">
        <f t="shared" si="33"/>
        <v>11698.506623269135</v>
      </c>
      <c r="BU53" s="58">
        <f t="shared" si="33"/>
        <v>11932.476755734519</v>
      </c>
      <c r="BV53" s="58">
        <f t="shared" si="33"/>
        <v>12171.12629084921</v>
      </c>
      <c r="BW53" s="58">
        <f t="shared" si="33"/>
        <v>12414.548816666194</v>
      </c>
      <c r="BX53" s="58">
        <f t="shared" si="33"/>
        <v>12662.839792999519</v>
      </c>
      <c r="BY53" s="58">
        <f t="shared" si="33"/>
        <v>12916.096588859509</v>
      </c>
      <c r="BZ53" s="58">
        <f t="shared" si="33"/>
        <v>13174.4185206367</v>
      </c>
      <c r="CA53" s="58">
        <f t="shared" si="33"/>
        <v>13437.906891049435</v>
      </c>
      <c r="CB53" s="58">
        <f t="shared" si="33"/>
        <v>13706.665028870424</v>
      </c>
      <c r="CC53" s="58">
        <f t="shared" si="33"/>
        <v>13980.798329447833</v>
      </c>
      <c r="CD53" s="58">
        <f t="shared" si="33"/>
        <v>14260.41429603679</v>
      </c>
      <c r="CE53" s="58">
        <f t="shared" si="33"/>
        <v>14545.622581957527</v>
      </c>
      <c r="CF53" s="58">
        <f t="shared" ref="CF53:CH53" si="34">CE53*(1+$E$6)</f>
        <v>14836.535033596678</v>
      </c>
      <c r="CG53" s="58">
        <f t="shared" si="34"/>
        <v>15133.265734268611</v>
      </c>
      <c r="CH53" s="58">
        <f t="shared" si="34"/>
        <v>15435.931048953984</v>
      </c>
    </row>
    <row r="54" spans="1:86" s="57" customFormat="1" x14ac:dyDescent="0.25">
      <c r="A54" s="1"/>
      <c r="B54" s="6"/>
      <c r="C54" s="11"/>
      <c r="D54" s="11"/>
      <c r="E54" s="11"/>
      <c r="F54" s="11"/>
      <c r="G54" s="11"/>
      <c r="H54" s="11"/>
      <c r="I54" s="12"/>
      <c r="J54" s="1"/>
      <c r="K54" s="1"/>
      <c r="L54" s="1"/>
      <c r="M54" s="1"/>
      <c r="N54" s="1"/>
      <c r="O54" s="1"/>
      <c r="P54" s="1"/>
      <c r="Q54" s="1"/>
      <c r="R54" s="1"/>
    </row>
    <row r="55" spans="1:86" s="57" customFormat="1" x14ac:dyDescent="0.25">
      <c r="A55" s="1"/>
      <c r="B55" s="9" t="s">
        <v>26</v>
      </c>
      <c r="C55" s="25">
        <f t="shared" ref="C55:R55" si="35">C51+C42+C45-C48</f>
        <v>574</v>
      </c>
      <c r="D55" s="25">
        <f t="shared" si="35"/>
        <v>860</v>
      </c>
      <c r="E55" s="25">
        <f t="shared" si="35"/>
        <v>1940</v>
      </c>
      <c r="F55" s="25">
        <f t="shared" si="35"/>
        <v>2078</v>
      </c>
      <c r="G55" s="25">
        <f t="shared" si="35"/>
        <v>2175</v>
      </c>
      <c r="H55" s="25">
        <f t="shared" si="35"/>
        <v>2952</v>
      </c>
      <c r="I55" s="59">
        <f t="shared" si="35"/>
        <v>2952.7422799999995</v>
      </c>
      <c r="J55" s="25">
        <f t="shared" si="35"/>
        <v>2646.6097600000003</v>
      </c>
      <c r="K55" s="25">
        <f t="shared" si="35"/>
        <v>2779.4921399999998</v>
      </c>
      <c r="L55" s="25">
        <f t="shared" si="35"/>
        <v>3198.2289999999985</v>
      </c>
      <c r="M55" s="25">
        <f t="shared" si="35"/>
        <v>3348.3043999999995</v>
      </c>
      <c r="N55" s="25">
        <f t="shared" si="35"/>
        <v>3643.0005999999994</v>
      </c>
      <c r="O55" s="25">
        <f t="shared" si="35"/>
        <v>3817.3945999999987</v>
      </c>
      <c r="P55" s="25">
        <f t="shared" si="35"/>
        <v>3983.2017355880857</v>
      </c>
      <c r="Q55" s="25">
        <f t="shared" si="35"/>
        <v>4140.9015625441671</v>
      </c>
      <c r="R55" s="25">
        <f t="shared" si="35"/>
        <v>4461.6176250459348</v>
      </c>
    </row>
    <row r="56" spans="1:86" s="57" customFormat="1" x14ac:dyDescent="0.25">
      <c r="A56" s="1"/>
      <c r="B56" s="26" t="s">
        <v>27</v>
      </c>
      <c r="C56" s="1"/>
      <c r="D56" s="1"/>
      <c r="E56" s="1"/>
      <c r="F56" s="1"/>
      <c r="G56" s="1"/>
      <c r="H56" s="1"/>
      <c r="I56" s="60">
        <f t="shared" ref="I56:R56" si="36">I55/((1+$E$5)^I9)</f>
        <v>2752.485127122919</v>
      </c>
      <c r="J56" s="19">
        <f t="shared" si="36"/>
        <v>2299.7932037919309</v>
      </c>
      <c r="K56" s="19">
        <f t="shared" si="36"/>
        <v>2251.4575605203918</v>
      </c>
      <c r="L56" s="19">
        <f t="shared" si="36"/>
        <v>2414.9453655741995</v>
      </c>
      <c r="M56" s="19">
        <f t="shared" si="36"/>
        <v>2356.796718663717</v>
      </c>
      <c r="N56" s="19">
        <f t="shared" si="36"/>
        <v>2390.3190479948103</v>
      </c>
      <c r="O56" s="19">
        <f t="shared" si="36"/>
        <v>2334.8722446900269</v>
      </c>
      <c r="P56" s="19">
        <f t="shared" si="36"/>
        <v>2271.055818550622</v>
      </c>
      <c r="Q56" s="19">
        <f t="shared" si="36"/>
        <v>2200.8469942301062</v>
      </c>
      <c r="R56" s="19">
        <f t="shared" si="36"/>
        <v>2210.4807116513416</v>
      </c>
    </row>
    <row r="57" spans="1:86" s="57" customFormat="1" x14ac:dyDescent="0.25">
      <c r="A57" s="1"/>
      <c r="B57" s="27"/>
      <c r="C57" s="27"/>
      <c r="D57" s="27"/>
      <c r="E57" s="27"/>
      <c r="F57" s="27"/>
      <c r="G57" s="27"/>
      <c r="H57" s="27"/>
      <c r="I57" s="28"/>
      <c r="J57" s="27"/>
      <c r="K57" s="27"/>
      <c r="L57" s="27"/>
      <c r="M57" s="27"/>
      <c r="N57" s="27"/>
      <c r="O57" s="27"/>
      <c r="P57" s="27"/>
      <c r="Q57" s="27"/>
      <c r="R57" s="27"/>
    </row>
    <row r="58" spans="1:86" s="57" customFormat="1" x14ac:dyDescent="0.25">
      <c r="A58" s="1"/>
      <c r="B58" s="1" t="s">
        <v>28</v>
      </c>
      <c r="C58" s="29">
        <f>(R55*(1+$E$6))/($E$5-$E$6)</f>
        <v>86263.802925398195</v>
      </c>
      <c r="D58" s="1"/>
      <c r="E58" s="1" t="s">
        <v>29</v>
      </c>
      <c r="F58" s="19">
        <f>NPV($E$5,I53:CH53)</f>
        <v>57745.443792807426</v>
      </c>
      <c r="G58" s="1"/>
      <c r="H58" s="1"/>
      <c r="I58" s="15"/>
      <c r="J58" s="1"/>
      <c r="K58" s="1"/>
      <c r="L58" s="1"/>
      <c r="M58" s="1"/>
      <c r="N58" s="1"/>
      <c r="O58" s="1"/>
      <c r="P58" s="1"/>
      <c r="Q58" s="1"/>
      <c r="R58" s="2"/>
    </row>
    <row r="59" spans="1:86" s="57" customFormat="1" x14ac:dyDescent="0.25">
      <c r="A59" s="1"/>
      <c r="B59" s="3" t="s">
        <v>30</v>
      </c>
      <c r="C59" s="30">
        <f>C58/((1+$E$5)^$R$9)</f>
        <v>42738.864803171498</v>
      </c>
      <c r="D59" s="17"/>
      <c r="E59" s="3"/>
      <c r="F59" s="3"/>
      <c r="G59" s="3"/>
      <c r="H59" s="31"/>
      <c r="I59" s="16"/>
      <c r="J59" s="17"/>
      <c r="K59" s="17"/>
      <c r="L59" s="17"/>
      <c r="M59" s="17"/>
      <c r="N59" s="17"/>
      <c r="O59" s="17"/>
      <c r="P59" s="17"/>
      <c r="Q59" s="17"/>
      <c r="R59" s="32"/>
    </row>
    <row r="60" spans="1:86" x14ac:dyDescent="0.25">
      <c r="A60" s="1"/>
      <c r="B60" s="6" t="s">
        <v>31</v>
      </c>
      <c r="C60" s="6"/>
      <c r="D60" s="1"/>
      <c r="E60" s="6"/>
      <c r="F60" s="6"/>
      <c r="G60" s="33" t="s">
        <v>32</v>
      </c>
      <c r="H60" s="33" t="s">
        <v>29</v>
      </c>
      <c r="I60" s="15"/>
      <c r="J60" s="1"/>
      <c r="K60" s="1"/>
      <c r="L60" s="1"/>
      <c r="M60" s="1"/>
      <c r="N60" s="1"/>
      <c r="O60" s="1"/>
      <c r="P60" s="1"/>
      <c r="Q60" s="1"/>
    </row>
    <row r="61" spans="1:86" x14ac:dyDescent="0.25">
      <c r="A61" s="1"/>
      <c r="B61" s="34" t="s">
        <v>33</v>
      </c>
      <c r="C61" s="1"/>
      <c r="D61">
        <v>204</v>
      </c>
      <c r="E61" s="1"/>
      <c r="F61" s="1"/>
      <c r="G61" s="29">
        <f>C59+SUM(I56:R56)</f>
        <v>66221.917595961568</v>
      </c>
      <c r="H61" s="19">
        <f>F58</f>
        <v>57745.443792807426</v>
      </c>
      <c r="I61" s="15"/>
      <c r="L61" s="61" t="s">
        <v>50</v>
      </c>
      <c r="M61" s="62"/>
      <c r="N61" s="62"/>
      <c r="O61" s="62"/>
      <c r="P61" s="62"/>
      <c r="Q61" s="61"/>
    </row>
    <row r="62" spans="1:86" x14ac:dyDescent="0.25">
      <c r="A62" s="1"/>
      <c r="B62" s="35" t="s">
        <v>34</v>
      </c>
      <c r="C62" s="3"/>
      <c r="D62" s="44">
        <v>9127</v>
      </c>
      <c r="E62" s="3"/>
      <c r="F62" s="3"/>
      <c r="G62" s="3"/>
      <c r="H62" s="3"/>
      <c r="I62" s="15"/>
      <c r="K62" s="61"/>
      <c r="L62" s="66">
        <f>E66</f>
        <v>37.798527167144485</v>
      </c>
      <c r="M62" s="80">
        <v>-0.01</v>
      </c>
      <c r="N62" s="80">
        <v>0.01</v>
      </c>
      <c r="O62" s="80">
        <v>0.02</v>
      </c>
      <c r="P62" s="80">
        <v>0.03</v>
      </c>
      <c r="Q62" s="80">
        <v>0.04</v>
      </c>
      <c r="R62" s="53"/>
    </row>
    <row r="63" spans="1:86" x14ac:dyDescent="0.25">
      <c r="A63" s="1"/>
      <c r="B63" s="6" t="s">
        <v>35</v>
      </c>
      <c r="C63" s="6"/>
      <c r="D63" s="6"/>
      <c r="E63" s="6"/>
      <c r="F63" s="6"/>
      <c r="G63" s="36">
        <f>G61+D61-D62</f>
        <v>57298.917595961568</v>
      </c>
      <c r="H63" s="37">
        <f>H61+D61-D62</f>
        <v>48822.443792807426</v>
      </c>
      <c r="I63" s="15"/>
      <c r="K63" s="61"/>
      <c r="L63" s="63">
        <f>L64-1%</f>
        <v>5.275503540555098E-2</v>
      </c>
      <c r="M63" s="67">
        <f t="dataTable" ref="M63:Q67" dt2D="1" dtr="1" r1="E6" r2="E5"/>
        <v>39.297934570170419</v>
      </c>
      <c r="N63" s="67">
        <v>52.468989369008455</v>
      </c>
      <c r="O63" s="67">
        <v>64.143396727697535</v>
      </c>
      <c r="P63" s="67">
        <v>83.991043238794106</v>
      </c>
      <c r="Q63" s="67">
        <v>127.80425034248205</v>
      </c>
    </row>
    <row r="64" spans="1:86" x14ac:dyDescent="0.25">
      <c r="A64" s="1"/>
      <c r="B64" s="3" t="s">
        <v>36</v>
      </c>
      <c r="C64" s="3"/>
      <c r="D64" s="79">
        <f>1403776408/1000000</f>
        <v>1403.7764079999999</v>
      </c>
      <c r="E64" s="3"/>
      <c r="F64" s="3"/>
      <c r="G64" s="3"/>
      <c r="H64" s="38"/>
      <c r="I64" s="15"/>
      <c r="K64" s="62"/>
      <c r="L64" s="63">
        <f>L65-1%</f>
        <v>6.2755035405550982E-2</v>
      </c>
      <c r="M64" s="67">
        <v>32.405992721582663</v>
      </c>
      <c r="N64" s="68">
        <v>41.121376550881848</v>
      </c>
      <c r="O64" s="68">
        <v>48.191255703581234</v>
      </c>
      <c r="P64" s="68">
        <v>58.884189021662024</v>
      </c>
      <c r="Q64" s="67">
        <v>77.056749240225798</v>
      </c>
    </row>
    <row r="65" spans="1:17" x14ac:dyDescent="0.25">
      <c r="A65" s="1"/>
      <c r="B65" s="18" t="s">
        <v>37</v>
      </c>
      <c r="C65" s="18"/>
      <c r="D65" s="70">
        <f>D64*$J$5</f>
        <v>44682.203066639995</v>
      </c>
      <c r="E65" s="18"/>
      <c r="F65" s="18"/>
      <c r="G65" s="18"/>
      <c r="H65" s="39"/>
      <c r="I65" s="1"/>
      <c r="K65" s="61" t="s">
        <v>1</v>
      </c>
      <c r="L65" s="63">
        <v>7.2755035405550977E-2</v>
      </c>
      <c r="M65" s="67">
        <v>27.179249764533004</v>
      </c>
      <c r="N65" s="68">
        <v>33.206230138270797</v>
      </c>
      <c r="O65" s="69">
        <v>37.798527167144485</v>
      </c>
      <c r="P65" s="68">
        <v>44.283010020273636</v>
      </c>
      <c r="Q65" s="67">
        <v>54.0848601523561</v>
      </c>
    </row>
    <row r="66" spans="1:17" x14ac:dyDescent="0.25">
      <c r="A66" s="1"/>
      <c r="B66" s="6" t="s">
        <v>38</v>
      </c>
      <c r="D66" s="6" t="s">
        <v>39</v>
      </c>
      <c r="E66" s="40">
        <f>(G66+H66)/2</f>
        <v>37.798527167144485</v>
      </c>
      <c r="F66" s="6"/>
      <c r="G66" s="40">
        <f>G63/D64</f>
        <v>40.817695232246393</v>
      </c>
      <c r="H66" s="41">
        <f>H63/D64</f>
        <v>34.779359102042569</v>
      </c>
      <c r="I66" s="15"/>
      <c r="K66" s="61"/>
      <c r="L66" s="64">
        <f>L65+1%</f>
        <v>8.2755035405550972E-2</v>
      </c>
      <c r="M66" s="67">
        <v>23.096230292162382</v>
      </c>
      <c r="N66" s="68">
        <v>27.407622771867082</v>
      </c>
      <c r="O66" s="68">
        <v>30.538869301492262</v>
      </c>
      <c r="P66" s="68">
        <v>34.756591152068097</v>
      </c>
      <c r="Q66" s="67">
        <v>40.70876523232613</v>
      </c>
    </row>
    <row r="67" spans="1:17" x14ac:dyDescent="0.25">
      <c r="B67" s="46"/>
      <c r="C67" s="46"/>
      <c r="D67" s="46"/>
      <c r="E67" s="46"/>
      <c r="F67" s="46"/>
      <c r="G67" s="46"/>
      <c r="H67" s="46"/>
      <c r="I67" s="23"/>
      <c r="K67" s="61"/>
      <c r="L67" s="64">
        <f>L66+1%</f>
        <v>9.2755035405550967E-2</v>
      </c>
      <c r="M67" s="67">
        <v>19.829045986900347</v>
      </c>
      <c r="N67" s="67">
        <v>22.998199174677914</v>
      </c>
      <c r="O67" s="67">
        <v>25.213013852206068</v>
      </c>
      <c r="P67" s="67">
        <v>28.092398437334932</v>
      </c>
      <c r="Q67" s="67">
        <v>31.969021117241525</v>
      </c>
    </row>
  </sheetData>
  <sortState xmlns:xlrd2="http://schemas.microsoft.com/office/spreadsheetml/2017/richdata2" columnSort="1" ref="C10:H55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G11" sqref="G11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5" t="s">
        <v>1</v>
      </c>
      <c r="C2" s="2"/>
      <c r="D2" s="2"/>
      <c r="E2" s="2"/>
      <c r="F2" s="2"/>
      <c r="G2" s="2"/>
      <c r="H2" s="2"/>
      <c r="I2" s="2"/>
      <c r="J2" s="2"/>
      <c r="K2" s="2"/>
      <c r="L2" s="46"/>
    </row>
    <row r="3" spans="1:12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2"/>
    </row>
    <row r="4" spans="1:12" x14ac:dyDescent="0.25">
      <c r="A4" s="48" t="s">
        <v>40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9">
        <f>'KDP DCF'!I39</f>
        <v>0.22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9">
        <v>5.3999999999999999E-2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50">
        <v>0.56999999999999995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9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35</v>
      </c>
      <c r="B12" s="2"/>
      <c r="C12" s="24">
        <f>'KDP DCF'!D65</f>
        <v>44682.203066639995</v>
      </c>
      <c r="D12" s="2"/>
      <c r="E12" s="2" t="s">
        <v>34</v>
      </c>
      <c r="F12" s="2"/>
      <c r="G12" s="24">
        <f>'KDP DCF'!D62</f>
        <v>9127</v>
      </c>
      <c r="H12" s="2"/>
      <c r="I12" s="2" t="s">
        <v>45</v>
      </c>
      <c r="J12" s="2"/>
      <c r="K12" s="24">
        <f>G12+C12</f>
        <v>53809.203066639995</v>
      </c>
      <c r="L12" s="2"/>
    </row>
    <row r="13" spans="1:12" x14ac:dyDescent="0.25">
      <c r="A13" s="2" t="s">
        <v>46</v>
      </c>
      <c r="B13" s="2"/>
      <c r="C13" s="51">
        <f>C12/K12</f>
        <v>0.83038217479830223</v>
      </c>
      <c r="D13" s="2"/>
      <c r="E13" s="2" t="s">
        <v>47</v>
      </c>
      <c r="F13" s="2"/>
      <c r="G13" s="52">
        <f>G12/K12</f>
        <v>0.16961782520169771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53">
        <f>D7+D8*(D9)</f>
        <v>7.9649999999999999E-2</v>
      </c>
      <c r="D14" s="2"/>
      <c r="E14" s="2" t="s">
        <v>49</v>
      </c>
      <c r="F14" s="2"/>
      <c r="G14" s="52">
        <v>0.05</v>
      </c>
      <c r="H14" s="2"/>
      <c r="I14" s="54" t="s">
        <v>1</v>
      </c>
      <c r="J14" s="55"/>
      <c r="K14" s="56">
        <f>C13*C14+G14*G13*(1-D6)</f>
        <v>7.2755035405550977E-2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KDP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2023-05-21T19:01:02Z</dcterms:modified>
</cp:coreProperties>
</file>