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ente1\Desktop\DCFs\"/>
    </mc:Choice>
  </mc:AlternateContent>
  <xr:revisionPtr revIDLastSave="0" documentId="8_{EA2EE50B-27D2-455A-9E70-B9A467F0D002}" xr6:coauthVersionLast="47" xr6:coauthVersionMax="47" xr10:uidLastSave="{00000000-0000-0000-0000-000000000000}"/>
  <bookViews>
    <workbookView xWindow="-120" yWindow="-120" windowWidth="20730" windowHeight="11040" xr2:uid="{AED10510-8238-4EDE-B018-BD7F77967871}"/>
  </bookViews>
  <sheets>
    <sheet name="SEDG DCF" sheetId="1" r:id="rId1"/>
    <sheet name="Raw IS" sheetId="3" r:id="rId2"/>
    <sheet name="Raw CF" sheetId="4" r:id="rId3"/>
    <sheet name="WACC" sheetId="2" r:id="rId4"/>
  </sheets>
  <calcPr calcId="191029" iterateDelta="1E-4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1" i="1" l="1"/>
  <c r="K11" i="1"/>
  <c r="I11" i="1"/>
  <c r="D69" i="1"/>
  <c r="D67" i="1"/>
  <c r="J50" i="1"/>
  <c r="K50" i="1"/>
  <c r="I50" i="1"/>
  <c r="J47" i="1"/>
  <c r="K47" i="1"/>
  <c r="I47" i="1"/>
  <c r="C14" i="2"/>
  <c r="G12" i="2"/>
  <c r="D6" i="2"/>
  <c r="D70" i="1"/>
  <c r="C12" i="2" s="1"/>
  <c r="L69" i="1"/>
  <c r="L70" i="1" s="1"/>
  <c r="L67" i="1"/>
  <c r="L66" i="1"/>
  <c r="H60" i="1"/>
  <c r="G60" i="1"/>
  <c r="F60" i="1"/>
  <c r="E60" i="1"/>
  <c r="D60" i="1"/>
  <c r="C60" i="1"/>
  <c r="H58" i="1"/>
  <c r="G58" i="1"/>
  <c r="F58" i="1"/>
  <c r="E58" i="1"/>
  <c r="D58" i="1"/>
  <c r="C58" i="1"/>
  <c r="E57" i="1"/>
  <c r="D57" i="1"/>
  <c r="H56" i="1"/>
  <c r="G56" i="1"/>
  <c r="F56" i="1"/>
  <c r="E56" i="1"/>
  <c r="D56" i="1"/>
  <c r="C56" i="1"/>
  <c r="H54" i="1"/>
  <c r="G54" i="1"/>
  <c r="F54" i="1"/>
  <c r="E54" i="1"/>
  <c r="D54" i="1"/>
  <c r="C54" i="1"/>
  <c r="J53" i="1"/>
  <c r="I53" i="1"/>
  <c r="H53" i="1"/>
  <c r="G53" i="1"/>
  <c r="F53" i="1"/>
  <c r="E53" i="1"/>
  <c r="D53" i="1"/>
  <c r="C53" i="1"/>
  <c r="H51" i="1"/>
  <c r="G51" i="1"/>
  <c r="F51" i="1"/>
  <c r="E51" i="1"/>
  <c r="D51" i="1"/>
  <c r="C51" i="1"/>
  <c r="H50" i="1"/>
  <c r="G50" i="1"/>
  <c r="F50" i="1"/>
  <c r="E50" i="1"/>
  <c r="D50" i="1"/>
  <c r="C50" i="1"/>
  <c r="H48" i="1"/>
  <c r="G48" i="1"/>
  <c r="F48" i="1"/>
  <c r="E48" i="1"/>
  <c r="D48" i="1"/>
  <c r="C48" i="1"/>
  <c r="H47" i="1"/>
  <c r="G47" i="1"/>
  <c r="F47" i="1"/>
  <c r="E47" i="1"/>
  <c r="D47" i="1"/>
  <c r="C47" i="1"/>
  <c r="H44" i="1"/>
  <c r="G44" i="1"/>
  <c r="F44" i="1"/>
  <c r="E44" i="1"/>
  <c r="D44" i="1"/>
  <c r="C44" i="1"/>
  <c r="H43" i="1"/>
  <c r="G43" i="1"/>
  <c r="F43" i="1"/>
  <c r="E43" i="1"/>
  <c r="D43" i="1"/>
  <c r="C43" i="1"/>
  <c r="H41" i="1"/>
  <c r="G41" i="1"/>
  <c r="F41" i="1"/>
  <c r="E41" i="1"/>
  <c r="D41" i="1"/>
  <c r="C41" i="1"/>
  <c r="H40" i="1"/>
  <c r="G40" i="1"/>
  <c r="F40" i="1"/>
  <c r="E40" i="1"/>
  <c r="D40" i="1"/>
  <c r="C40" i="1"/>
  <c r="H38" i="1"/>
  <c r="G38" i="1"/>
  <c r="F38" i="1"/>
  <c r="E38" i="1"/>
  <c r="D38" i="1"/>
  <c r="C38" i="1"/>
  <c r="H36" i="1"/>
  <c r="G36" i="1"/>
  <c r="F36" i="1"/>
  <c r="E36" i="1"/>
  <c r="D36" i="1"/>
  <c r="C36" i="1"/>
  <c r="J35" i="1"/>
  <c r="I35" i="1"/>
  <c r="H35" i="1"/>
  <c r="G35" i="1"/>
  <c r="F35" i="1"/>
  <c r="E35" i="1"/>
  <c r="D35" i="1"/>
  <c r="C35" i="1"/>
  <c r="J34" i="1"/>
  <c r="J38" i="1" s="1"/>
  <c r="H34" i="1"/>
  <c r="G34" i="1"/>
  <c r="F34" i="1"/>
  <c r="E34" i="1"/>
  <c r="D34" i="1"/>
  <c r="C34" i="1"/>
  <c r="H32" i="1"/>
  <c r="G32" i="1"/>
  <c r="F32" i="1"/>
  <c r="E32" i="1"/>
  <c r="D32" i="1"/>
  <c r="C32" i="1"/>
  <c r="J31" i="1"/>
  <c r="J32" i="1" s="1"/>
  <c r="H31" i="1"/>
  <c r="G31" i="1"/>
  <c r="F31" i="1"/>
  <c r="E31" i="1"/>
  <c r="D31" i="1"/>
  <c r="C31" i="1"/>
  <c r="H29" i="1"/>
  <c r="G29" i="1"/>
  <c r="F29" i="1"/>
  <c r="E29" i="1"/>
  <c r="D29" i="1"/>
  <c r="C29" i="1"/>
  <c r="J28" i="1"/>
  <c r="I28" i="1"/>
  <c r="H28" i="1"/>
  <c r="G28" i="1"/>
  <c r="F28" i="1"/>
  <c r="E28" i="1"/>
  <c r="H26" i="1"/>
  <c r="G26" i="1"/>
  <c r="F26" i="1"/>
  <c r="E26" i="1"/>
  <c r="D26" i="1"/>
  <c r="C26" i="1"/>
  <c r="J25" i="1"/>
  <c r="I25" i="1"/>
  <c r="H25" i="1"/>
  <c r="G25" i="1"/>
  <c r="F25" i="1"/>
  <c r="E25" i="1"/>
  <c r="D25" i="1"/>
  <c r="C25" i="1"/>
  <c r="H23" i="1"/>
  <c r="G23" i="1"/>
  <c r="F23" i="1"/>
  <c r="E23" i="1"/>
  <c r="D23" i="1"/>
  <c r="C23" i="1"/>
  <c r="J22" i="1"/>
  <c r="I22" i="1"/>
  <c r="H22" i="1"/>
  <c r="G22" i="1"/>
  <c r="F22" i="1"/>
  <c r="E22" i="1"/>
  <c r="D22" i="1"/>
  <c r="C22" i="1"/>
  <c r="H20" i="1"/>
  <c r="G20" i="1"/>
  <c r="F20" i="1"/>
  <c r="E20" i="1"/>
  <c r="D20" i="1"/>
  <c r="C20" i="1"/>
  <c r="J19" i="1"/>
  <c r="I19" i="1"/>
  <c r="I31" i="1" s="1"/>
  <c r="I32" i="1" s="1"/>
  <c r="H19" i="1"/>
  <c r="G19" i="1"/>
  <c r="F19" i="1"/>
  <c r="E19" i="1"/>
  <c r="D19" i="1"/>
  <c r="C19" i="1"/>
  <c r="H17" i="1"/>
  <c r="G17" i="1"/>
  <c r="F17" i="1"/>
  <c r="E17" i="1"/>
  <c r="D17" i="1"/>
  <c r="C17" i="1"/>
  <c r="J16" i="1"/>
  <c r="I16" i="1"/>
  <c r="I34" i="1" s="1"/>
  <c r="H16" i="1"/>
  <c r="G16" i="1"/>
  <c r="F16" i="1"/>
  <c r="E16" i="1"/>
  <c r="D16" i="1"/>
  <c r="C16" i="1"/>
  <c r="J14" i="1"/>
  <c r="I14" i="1"/>
  <c r="H14" i="1"/>
  <c r="G14" i="1"/>
  <c r="F14" i="1"/>
  <c r="E14" i="1"/>
  <c r="D14" i="1"/>
  <c r="C14" i="1"/>
  <c r="H12" i="1"/>
  <c r="G12" i="1"/>
  <c r="F12" i="1"/>
  <c r="E12" i="1"/>
  <c r="D12" i="1"/>
  <c r="H11" i="1"/>
  <c r="G11" i="1"/>
  <c r="F11" i="1"/>
  <c r="E11" i="1"/>
  <c r="D11" i="1"/>
  <c r="C11" i="1"/>
  <c r="R9" i="1"/>
  <c r="Q9" i="1"/>
  <c r="P9" i="1"/>
  <c r="O9" i="1"/>
  <c r="N9" i="1"/>
  <c r="M9" i="1"/>
  <c r="L9" i="1"/>
  <c r="K9" i="1"/>
  <c r="J9" i="1"/>
  <c r="L11" i="1" l="1"/>
  <c r="K53" i="1"/>
  <c r="K35" i="1"/>
  <c r="K14" i="1"/>
  <c r="K16" i="1"/>
  <c r="K19" i="1"/>
  <c r="K22" i="1"/>
  <c r="K25" i="1"/>
  <c r="K28" i="1"/>
  <c r="J40" i="1"/>
  <c r="I40" i="1"/>
  <c r="I38" i="1"/>
  <c r="K12" i="2"/>
  <c r="C13" i="2" s="1"/>
  <c r="J41" i="1" l="1"/>
  <c r="J43" i="1"/>
  <c r="J58" i="1" s="1"/>
  <c r="K31" i="1"/>
  <c r="K32" i="1" s="1"/>
  <c r="L50" i="1"/>
  <c r="L47" i="1"/>
  <c r="L28" i="1"/>
  <c r="L25" i="1"/>
  <c r="L22" i="1"/>
  <c r="L19" i="1"/>
  <c r="L16" i="1"/>
  <c r="M11" i="1"/>
  <c r="L53" i="1"/>
  <c r="L35" i="1"/>
  <c r="I56" i="1"/>
  <c r="I60" i="1" s="1"/>
  <c r="I43" i="1"/>
  <c r="I58" i="1" s="1"/>
  <c r="I41" i="1"/>
  <c r="G13" i="2"/>
  <c r="K14" i="2" s="1"/>
  <c r="E5" i="1" s="1"/>
  <c r="N11" i="1" l="1"/>
  <c r="M53" i="1"/>
  <c r="M35" i="1"/>
  <c r="M50" i="1"/>
  <c r="M47" i="1"/>
  <c r="M28" i="1"/>
  <c r="M25" i="1"/>
  <c r="M22" i="1"/>
  <c r="M19" i="1"/>
  <c r="M31" i="1" s="1"/>
  <c r="M32" i="1" s="1"/>
  <c r="M16" i="1"/>
  <c r="M14" i="1"/>
  <c r="L14" i="1"/>
  <c r="L31" i="1"/>
  <c r="L32" i="1" s="1"/>
  <c r="K34" i="1"/>
  <c r="J56" i="1"/>
  <c r="J60" i="1" s="1"/>
  <c r="J61" i="1" s="1"/>
  <c r="I61" i="1"/>
  <c r="N50" i="1" l="1"/>
  <c r="N47" i="1"/>
  <c r="N28" i="1"/>
  <c r="N25" i="1"/>
  <c r="N22" i="1"/>
  <c r="N19" i="1"/>
  <c r="N16" i="1"/>
  <c r="O11" i="1"/>
  <c r="N53" i="1"/>
  <c r="N35" i="1"/>
  <c r="K40" i="1"/>
  <c r="K38" i="1"/>
  <c r="L34" i="1"/>
  <c r="M34" i="1"/>
  <c r="M40" i="1" l="1"/>
  <c r="M38" i="1"/>
  <c r="K58" i="1"/>
  <c r="P11" i="1"/>
  <c r="O53" i="1"/>
  <c r="O35" i="1"/>
  <c r="O28" i="1"/>
  <c r="O25" i="1"/>
  <c r="O22" i="1"/>
  <c r="O19" i="1"/>
  <c r="O16" i="1"/>
  <c r="O50" i="1"/>
  <c r="O47" i="1"/>
  <c r="L38" i="1"/>
  <c r="L40" i="1"/>
  <c r="K43" i="1"/>
  <c r="K56" i="1"/>
  <c r="K60" i="1" s="1"/>
  <c r="K61" i="1" s="1"/>
  <c r="K41" i="1"/>
  <c r="N14" i="1"/>
  <c r="N31" i="1"/>
  <c r="N32" i="1" s="1"/>
  <c r="L41" i="1" l="1"/>
  <c r="L43" i="1"/>
  <c r="L58" i="1" s="1"/>
  <c r="N34" i="1"/>
  <c r="O34" i="1"/>
  <c r="M43" i="1"/>
  <c r="M58" i="1" s="1"/>
  <c r="M41" i="1"/>
  <c r="M56" i="1"/>
  <c r="M60" i="1" s="1"/>
  <c r="M61" i="1" s="1"/>
  <c r="O14" i="1"/>
  <c r="O31" i="1"/>
  <c r="O32" i="1" s="1"/>
  <c r="P50" i="1"/>
  <c r="P47" i="1"/>
  <c r="P28" i="1"/>
  <c r="P25" i="1"/>
  <c r="P22" i="1"/>
  <c r="P19" i="1"/>
  <c r="P16" i="1"/>
  <c r="Q11" i="1"/>
  <c r="P53" i="1"/>
  <c r="P35" i="1"/>
  <c r="R11" i="1" l="1"/>
  <c r="Q53" i="1"/>
  <c r="Q35" i="1"/>
  <c r="Q50" i="1"/>
  <c r="Q47" i="1"/>
  <c r="Q28" i="1"/>
  <c r="Q25" i="1"/>
  <c r="Q22" i="1"/>
  <c r="Q19" i="1"/>
  <c r="Q16" i="1"/>
  <c r="O40" i="1"/>
  <c r="O38" i="1"/>
  <c r="L56" i="1"/>
  <c r="L60" i="1" s="1"/>
  <c r="L61" i="1" s="1"/>
  <c r="P14" i="1"/>
  <c r="P31" i="1"/>
  <c r="P32" i="1" s="1"/>
  <c r="N38" i="1"/>
  <c r="N40" i="1"/>
  <c r="N41" i="1" l="1"/>
  <c r="N43" i="1"/>
  <c r="N56" i="1" s="1"/>
  <c r="N60" i="1" s="1"/>
  <c r="N61" i="1" s="1"/>
  <c r="P34" i="1"/>
  <c r="N58" i="1"/>
  <c r="O43" i="1"/>
  <c r="O56" i="1" s="1"/>
  <c r="O60" i="1" s="1"/>
  <c r="O61" i="1" s="1"/>
  <c r="O41" i="1"/>
  <c r="Q14" i="1"/>
  <c r="Q31" i="1"/>
  <c r="Q32" i="1" s="1"/>
  <c r="R50" i="1"/>
  <c r="R47" i="1"/>
  <c r="R28" i="1"/>
  <c r="R25" i="1"/>
  <c r="R22" i="1"/>
  <c r="R19" i="1"/>
  <c r="R31" i="1" s="1"/>
  <c r="R32" i="1" s="1"/>
  <c r="R16" i="1"/>
  <c r="R14" i="1"/>
  <c r="R53" i="1"/>
  <c r="R35" i="1"/>
  <c r="Q34" i="1" l="1"/>
  <c r="O58" i="1"/>
  <c r="R34" i="1"/>
  <c r="P38" i="1"/>
  <c r="P40" i="1"/>
  <c r="P41" i="1" l="1"/>
  <c r="P43" i="1"/>
  <c r="P56" i="1" s="1"/>
  <c r="P60" i="1" s="1"/>
  <c r="P61" i="1" s="1"/>
  <c r="P58" i="1"/>
  <c r="R38" i="1"/>
  <c r="R40" i="1"/>
  <c r="Q40" i="1"/>
  <c r="Q38" i="1"/>
  <c r="R41" i="1" l="1"/>
  <c r="R43" i="1"/>
  <c r="R56" i="1" s="1"/>
  <c r="R60" i="1" s="1"/>
  <c r="Q58" i="1"/>
  <c r="Q43" i="1"/>
  <c r="Q41" i="1"/>
  <c r="Q56" i="1"/>
  <c r="Q60" i="1" s="1"/>
  <c r="Q61" i="1" s="1"/>
  <c r="R58" i="1"/>
  <c r="S58" i="1" s="1"/>
  <c r="T58" i="1" s="1"/>
  <c r="U58" i="1" s="1"/>
  <c r="V58" i="1" s="1"/>
  <c r="W58" i="1" s="1"/>
  <c r="X58" i="1" s="1"/>
  <c r="Y58" i="1" s="1"/>
  <c r="Z58" i="1" s="1"/>
  <c r="AA58" i="1" s="1"/>
  <c r="AB58" i="1" s="1"/>
  <c r="AC58" i="1" s="1"/>
  <c r="AD58" i="1" s="1"/>
  <c r="AE58" i="1" s="1"/>
  <c r="AF58" i="1" s="1"/>
  <c r="AG58" i="1" s="1"/>
  <c r="AH58" i="1" s="1"/>
  <c r="AI58" i="1" s="1"/>
  <c r="AJ58" i="1" s="1"/>
  <c r="AK58" i="1" s="1"/>
  <c r="AL58" i="1" s="1"/>
  <c r="AM58" i="1" s="1"/>
  <c r="AN58" i="1" s="1"/>
  <c r="AO58" i="1" s="1"/>
  <c r="AP58" i="1" s="1"/>
  <c r="AQ58" i="1" s="1"/>
  <c r="AR58" i="1" s="1"/>
  <c r="AS58" i="1" s="1"/>
  <c r="AT58" i="1" s="1"/>
  <c r="AU58" i="1" s="1"/>
  <c r="AV58" i="1" s="1"/>
  <c r="AW58" i="1" s="1"/>
  <c r="AX58" i="1" s="1"/>
  <c r="AY58" i="1" s="1"/>
  <c r="AZ58" i="1" s="1"/>
  <c r="BA58" i="1" s="1"/>
  <c r="BB58" i="1" s="1"/>
  <c r="BC58" i="1" s="1"/>
  <c r="BD58" i="1" s="1"/>
  <c r="BE58" i="1" s="1"/>
  <c r="BF58" i="1" s="1"/>
  <c r="BG58" i="1" s="1"/>
  <c r="BH58" i="1" s="1"/>
  <c r="BI58" i="1" s="1"/>
  <c r="BJ58" i="1" s="1"/>
  <c r="BK58" i="1" s="1"/>
  <c r="BL58" i="1" s="1"/>
  <c r="BM58" i="1" s="1"/>
  <c r="BN58" i="1" s="1"/>
  <c r="BO58" i="1" s="1"/>
  <c r="BP58" i="1" s="1"/>
  <c r="BQ58" i="1" s="1"/>
  <c r="BR58" i="1" s="1"/>
  <c r="BS58" i="1" s="1"/>
  <c r="BT58" i="1" s="1"/>
  <c r="BU58" i="1" s="1"/>
  <c r="BV58" i="1" s="1"/>
  <c r="BW58" i="1" s="1"/>
  <c r="BX58" i="1" s="1"/>
  <c r="BY58" i="1" s="1"/>
  <c r="BZ58" i="1" s="1"/>
  <c r="CA58" i="1" s="1"/>
  <c r="CB58" i="1" s="1"/>
  <c r="CC58" i="1" s="1"/>
  <c r="CD58" i="1" s="1"/>
  <c r="CE58" i="1" s="1"/>
  <c r="CF58" i="1" s="1"/>
  <c r="CG58" i="1" s="1"/>
  <c r="CH58" i="1" s="1"/>
  <c r="F63" i="1" s="1"/>
  <c r="H66" i="1" s="1"/>
  <c r="H68" i="1" s="1"/>
  <c r="H71" i="1" s="1"/>
  <c r="R61" i="1" l="1"/>
  <c r="C63" i="1"/>
  <c r="C64" i="1" s="1"/>
  <c r="G66" i="1" s="1"/>
  <c r="G68" i="1" s="1"/>
  <c r="G71" i="1" s="1"/>
  <c r="D71" i="1" s="1"/>
  <c r="L65" i="1" l="1"/>
  <c r="J6" i="1"/>
  <c r="N5" i="1" s="1"/>
</calcChain>
</file>

<file path=xl/sharedStrings.xml><?xml version="1.0" encoding="utf-8"?>
<sst xmlns="http://schemas.openxmlformats.org/spreadsheetml/2006/main" count="226" uniqueCount="165">
  <si>
    <t xml:space="preserve">Valuation Assumptions: </t>
  </si>
  <si>
    <t>WACC</t>
  </si>
  <si>
    <t>Current price   :</t>
  </si>
  <si>
    <t xml:space="preserve">Upside/Downside : </t>
  </si>
  <si>
    <t>Terminal rate</t>
  </si>
  <si>
    <t xml:space="preserve">Implied price   : </t>
  </si>
  <si>
    <t>Income Statement</t>
  </si>
  <si>
    <t>Revenue</t>
  </si>
  <si>
    <t>% growth</t>
  </si>
  <si>
    <t>COGS</t>
  </si>
  <si>
    <t>Gross Profit</t>
  </si>
  <si>
    <t>% Gross Margin</t>
  </si>
  <si>
    <t>R&amp;D</t>
  </si>
  <si>
    <t>Opex</t>
  </si>
  <si>
    <t>Operating income</t>
  </si>
  <si>
    <t>Other income</t>
  </si>
  <si>
    <t>Pre-tax income</t>
  </si>
  <si>
    <t>EBIT</t>
  </si>
  <si>
    <t>% Revenue</t>
  </si>
  <si>
    <t>Taxes</t>
  </si>
  <si>
    <t>% EBIT</t>
  </si>
  <si>
    <t>Cash Flow Statement</t>
  </si>
  <si>
    <t>D&amp;A</t>
  </si>
  <si>
    <t>CapEx</t>
  </si>
  <si>
    <t>change NWC</t>
  </si>
  <si>
    <t>EBIAT</t>
  </si>
  <si>
    <t>Net income</t>
  </si>
  <si>
    <t>FCF</t>
  </si>
  <si>
    <t>Present value FCF</t>
  </si>
  <si>
    <t>TV</t>
  </si>
  <si>
    <t>DNI</t>
  </si>
  <si>
    <t>PV of TV</t>
  </si>
  <si>
    <t>Enterprise Value</t>
  </si>
  <si>
    <t>DCF</t>
  </si>
  <si>
    <t>Cash</t>
  </si>
  <si>
    <t>Debt</t>
  </si>
  <si>
    <t>Equity Value</t>
  </si>
  <si>
    <t>Shares</t>
  </si>
  <si>
    <t xml:space="preserve">Current market cap </t>
  </si>
  <si>
    <t>Share Price</t>
  </si>
  <si>
    <t>Mean:</t>
  </si>
  <si>
    <t>​</t>
  </si>
  <si>
    <t xml:space="preserve">Assumpions: </t>
  </si>
  <si>
    <t>Tax Rate</t>
  </si>
  <si>
    <t>Risk Free Rate</t>
  </si>
  <si>
    <t>Beta</t>
  </si>
  <si>
    <t>Market Risk Premium</t>
  </si>
  <si>
    <t>D+E</t>
  </si>
  <si>
    <t>% Equity</t>
  </si>
  <si>
    <t>% Debt</t>
  </si>
  <si>
    <t>Cost of Equity</t>
  </si>
  <si>
    <t>Cost of Debt</t>
  </si>
  <si>
    <t xml:space="preserve">                                             Terminal Growth Rate</t>
  </si>
  <si>
    <t>Last update</t>
  </si>
  <si>
    <t>S&amp;M</t>
  </si>
  <si>
    <t>G&amp;A</t>
  </si>
  <si>
    <t>NCI</t>
  </si>
  <si>
    <t>Other</t>
  </si>
  <si>
    <t>Prepaid expenses and other assets</t>
  </si>
  <si>
    <t>Net cash provided by operating activities</t>
  </si>
  <si>
    <t>Cash flows from investing activities:</t>
  </si>
  <si>
    <t>Net cash used in investing activities</t>
  </si>
  <si>
    <t>Gross profit</t>
  </si>
  <si>
    <t>Operating expenses:</t>
  </si>
  <si>
    <t>Research and development</t>
  </si>
  <si>
    <t>Sales and marketing</t>
  </si>
  <si>
    <t>General and administrative</t>
  </si>
  <si>
    <t>Total operating expenses</t>
  </si>
  <si>
    <t>CONSOLIDATED STATEMENTS OF CASH FLOWS</t>
  </si>
  <si>
    <t>Adjustments to reconcile net income to net cash provided by operating activities:</t>
  </si>
  <si>
    <t>CONSOLIDATED STATEMENTS OF INCOME</t>
  </si>
  <si>
    <t>Year
        ended December 31,</t>
  </si>
  <si>
    <t>2022</t>
  </si>
  <si>
    <t>2021</t>
  </si>
  <si>
    <t>2020</t>
  </si>
  <si>
    <t>Revenues</t>
  </si>
  <si>
    <t>Cost
        of revenues</t>
  </si>
  <si>
    <t>Gross
        profit</t>
  </si>
  <si>
    <t>Operating
        expenses:</t>
  </si>
  <si>
    <t>Research
        and development</t>
  </si>
  <si>
    <t>Sales
        and marketing</t>
  </si>
  <si>
    <t>General
        and administrative</t>
  </si>
  <si>
    <t>Goodwill
        impairment and other operating expenses (income), net</t>
  </si>
  <si>
    <t>Total 
        operating expenses</t>
  </si>
  <si>
    <t>Operating
        income</t>
  </si>
  <si>
    <t>Financial
        income (expense), net</t>
  </si>
  <si>
    <t>Other
        income</t>
  </si>
  <si>
    <t>-</t>
  </si>
  <si>
    <t>Income
        before income taxes</t>
  </si>
  <si>
    <t>Income
        taxes</t>
  </si>
  <si>
    <t>Net
        income</t>
  </si>
  <si>
    <t>Net
        basic earnings per share of common stock</t>
  </si>
  <si>
    <t>Net
        diluted earnings per share of common stock</t>
  </si>
  <si>
    <t>Weighted
        average number of shares used in computing net basic earnings per share of common stock</t>
  </si>
  <si>
    <t>Weighted
        average number of shares used in computing net diluted earnings per share of common stock</t>
  </si>
  <si>
    <t>Cash
        flows from operating activities :</t>
  </si>
  <si>
    <t>Adjustments
        to reconcile net income to net cash provided by operating activities:</t>
  </si>
  <si>
    <t>Depreciation
        of property, plant and equipment</t>
  </si>
  <si>
    <t>Amortization
        of intangible assets</t>
  </si>
  <si>
    <t>Amortization
        of debt discount and debt issuance costs</t>
  </si>
  <si>
    <t>Amortization
        of premium and accretion of discount on available-for-sale marketable securities, net</t>
  </si>
  <si>
    <t>Impairment
        of goodwill and intangible assets</t>
  </si>
  <si>
    <t>Stock-based
        compensation expenses</t>
  </si>
  <si>
    <t>Gain from
        sale of privately held company</t>
  </si>
  <si>
    <t>Deferred
        income taxes, net</t>
  </si>
  <si>
    <t>Exchange
        rate fluctuations and other items, net</t>
  </si>
  <si>
    <t>Changes
        in assets and liabilities:</t>
  </si>
  <si>
    <t>Inventories,
        net</t>
  </si>
  <si>
    <t>Prepaid
        expenses and other assets</t>
  </si>
  <si>
    <t>Trade
        receivables, net</t>
  </si>
  <si>
    <t>Trade
        payables, net</t>
  </si>
  <si>
    <t>Employees
        and payroll accruals</t>
  </si>
  <si>
    <t>Warranty
        obligations</t>
  </si>
  <si>
    <t>Deferred
        revenues and customers advances</t>
  </si>
  <si>
    <t>Accrued
        expenses and other liabilities, net</t>
  </si>
  <si>
    <t>Net
        cash provided by operating activities</t>
  </si>
  <si>
    <t>Cash
        flows from investing activities :</t>
  </si>
  <si>
    <t>Proceed from sales and maturities
        of available-for-sale marketable securities</t>
  </si>
  <si>
    <t>Purchase
        of property, plant and equipment</t>
  </si>
  <si>
    <t>Investment
        in available-for-sale marketable securities</t>
  </si>
  <si>
    <t>Investment
        in a privately-held company</t>
  </si>
  <si>
    <t>Proceeds from sale of a privately-held
        company</t>
  </si>
  <si>
    <t>Withdrawal
        from (investment in) bank deposits, net</t>
  </si>
  <si>
    <t>Withdrawal
        from (investment in) restricted bank Deposits, net</t>
  </si>
  <si>
    <t>Other
        investing activities</t>
  </si>
  <si>
    <t>Net
        cash used in investing activities</t>
  </si>
  <si>
    <t>2019</t>
  </si>
  <si>
    <t>2018</t>
  </si>
  <si>
    <t>2017</t>
  </si>
  <si>
    <t>Cost of revenues</t>
  </si>
  <si>
    <t>Other operating expenses</t>
  </si>
  <si>
    <t>Financial expenses (income), net</t>
  </si>
  <si>
    <t>Income before income taxes</t>
  </si>
  <si>
    <t>Income taxes</t>
  </si>
  <si>
    <t>Net loss attributable to Non-controlling interests</t>
  </si>
  <si>
    <t>Net income attributable to SolarEdge Technologies, Inc.</t>
  </si>
  <si>
    <t>Net basic earnings per share of common stock attributable to SolarEdge Technologies, Inc.</t>
  </si>
  <si>
    <t>Net diluted earnings per share of common stock attributable to SolarEdge Technologies, Inc.</t>
  </si>
  <si>
    <t>Weighted average number of shares used in computing net basic earnings per share of common stock</t>
  </si>
  <si>
    <t>Weighted average number of shares used in computing net diluted earnings per share of common stock</t>
  </si>
  <si>
    <t>Cash flows provided by operating activities:</t>
  </si>
  <si>
    <t>Depreciation of property, plant and equipment</t>
  </si>
  <si>
    <t>Amortization of intangible assets</t>
  </si>
  <si>
    <t>Amortization of premium and accretion of discount on available-for-sale marketable securities, net</t>
  </si>
  <si>
    <t>Stock-based compensation expenses</t>
  </si>
  <si>
    <t>Deferred income tax benefit, net</t>
  </si>
  <si>
    <t>Loss from sale of business</t>
  </si>
  <si>
    <t>Other expenses (income), net</t>
  </si>
  <si>
    <t>Changes in assets and liabilities:</t>
  </si>
  <si>
    <t>Inventories, net</t>
  </si>
  <si>
    <t>Trade receivables, net</t>
  </si>
  <si>
    <t>Operating lease right-of-use assets and liabilities, net and effect of exchange rate differences</t>
  </si>
  <si>
    <t>Trade payables, net</t>
  </si>
  <si>
    <t>Employees and payroll accruals</t>
  </si>
  <si>
    <t>Warranty obligations</t>
  </si>
  <si>
    <t>Deferred revenues</t>
  </si>
  <si>
    <t>Other liabilities</t>
  </si>
  <si>
    <t>Business combinations, net of cash acquired</t>
  </si>
  <si>
    <t>Purchase of property, plant and equipment</t>
  </si>
  <si>
    <t>Withdrawal from (investment in) bank deposits</t>
  </si>
  <si>
    <t>Investment in restricted bank deposits</t>
  </si>
  <si>
    <t>Investment in available-for-sale marketable securities</t>
  </si>
  <si>
    <t>Proceed from sales and maturities of available-for-sale marketable securities</t>
  </si>
  <si>
    <t>Other investing activities</t>
  </si>
  <si>
    <t>SolarEdge Technologies Inc. DCF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</si>
</sst>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%"/>
    <numFmt numFmtId="165" formatCode="0.00000%"/>
    <numFmt numFmtId="166" formatCode="_(\$* #,##0_);_(\$* \(#,##0\);_(\$* \-_);_(@_)"/>
    <numFmt numFmtId="167" formatCode="\(#,##0_);[Red]\(#,##0\)"/>
    <numFmt numFmtId="168" formatCode="_(\$* #,##0.00_);_(\$* \(#,##0.00\);_(\$* \-??_);_(@_)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8"/>
      <name val="Calibri"/>
      <family val="2"/>
      <scheme val="minor"/>
    </font>
    <font>
      <b/>
      <sz val="16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8"/>
      <name val="Calibri"/>
      <family val="2"/>
      <charset val="1"/>
    </font>
    <font>
      <i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theme="1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theme="1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1">
    <xf numFmtId="0" fontId="0" fillId="0" borderId="0" xfId="0"/>
    <xf numFmtId="0" fontId="3" fillId="2" borderId="0" xfId="0" applyFont="1" applyFill="1"/>
    <xf numFmtId="0" fontId="0" fillId="2" borderId="0" xfId="0" applyFill="1"/>
    <xf numFmtId="0" fontId="3" fillId="2" borderId="1" xfId="0" applyFont="1" applyFill="1" applyBorder="1"/>
    <xf numFmtId="0" fontId="4" fillId="2" borderId="1" xfId="0" applyFont="1" applyFill="1" applyBorder="1"/>
    <xf numFmtId="0" fontId="5" fillId="2" borderId="0" xfId="0" applyFont="1" applyFill="1"/>
    <xf numFmtId="0" fontId="6" fillId="2" borderId="0" xfId="0" applyFont="1" applyFill="1"/>
    <xf numFmtId="0" fontId="3" fillId="2" borderId="0" xfId="0" applyFont="1" applyFill="1" applyAlignment="1">
      <alignment horizontal="left"/>
    </xf>
    <xf numFmtId="164" fontId="3" fillId="2" borderId="2" xfId="0" applyNumberFormat="1" applyFont="1" applyFill="1" applyBorder="1" applyAlignment="1">
      <alignment horizontal="center"/>
    </xf>
    <xf numFmtId="164" fontId="3" fillId="2" borderId="0" xfId="0" applyNumberFormat="1" applyFont="1" applyFill="1" applyAlignment="1">
      <alignment horizontal="center"/>
    </xf>
    <xf numFmtId="0" fontId="6" fillId="3" borderId="0" xfId="0" applyFont="1" applyFill="1"/>
    <xf numFmtId="0" fontId="6" fillId="4" borderId="0" xfId="0" applyFont="1" applyFill="1"/>
    <xf numFmtId="3" fontId="3" fillId="2" borderId="0" xfId="0" applyNumberFormat="1" applyFont="1" applyFill="1"/>
    <xf numFmtId="0" fontId="3" fillId="2" borderId="4" xfId="0" applyFont="1" applyFill="1" applyBorder="1"/>
    <xf numFmtId="0" fontId="7" fillId="2" borderId="0" xfId="0" applyFont="1" applyFill="1"/>
    <xf numFmtId="164" fontId="7" fillId="2" borderId="0" xfId="1" applyNumberFormat="1" applyFont="1" applyFill="1"/>
    <xf numFmtId="0" fontId="3" fillId="2" borderId="3" xfId="0" applyFont="1" applyFill="1" applyBorder="1"/>
    <xf numFmtId="0" fontId="3" fillId="2" borderId="5" xfId="0" applyFont="1" applyFill="1" applyBorder="1"/>
    <xf numFmtId="0" fontId="3" fillId="2" borderId="6" xfId="0" applyFont="1" applyFill="1" applyBorder="1"/>
    <xf numFmtId="1" fontId="3" fillId="2" borderId="0" xfId="0" applyNumberFormat="1" applyFont="1" applyFill="1"/>
    <xf numFmtId="10" fontId="3" fillId="2" borderId="0" xfId="1" applyNumberFormat="1" applyFont="1" applyFill="1"/>
    <xf numFmtId="3" fontId="0" fillId="2" borderId="0" xfId="0" applyNumberFormat="1" applyFill="1"/>
    <xf numFmtId="0" fontId="3" fillId="4" borderId="0" xfId="0" applyFont="1" applyFill="1"/>
    <xf numFmtId="0" fontId="3" fillId="2" borderId="7" xfId="0" applyFont="1" applyFill="1" applyBorder="1"/>
    <xf numFmtId="1" fontId="0" fillId="2" borderId="0" xfId="0" applyNumberFormat="1" applyFill="1"/>
    <xf numFmtId="1" fontId="0" fillId="2" borderId="5" xfId="0" applyNumberFormat="1" applyFill="1" applyBorder="1"/>
    <xf numFmtId="0" fontId="0" fillId="5" borderId="0" xfId="0" applyFill="1"/>
    <xf numFmtId="0" fontId="3" fillId="2" borderId="0" xfId="0" quotePrefix="1" applyFont="1" applyFill="1"/>
    <xf numFmtId="0" fontId="3" fillId="2" borderId="1" xfId="0" quotePrefix="1" applyFont="1" applyFill="1" applyBorder="1"/>
    <xf numFmtId="3" fontId="0" fillId="2" borderId="5" xfId="0" applyNumberFormat="1" applyFill="1" applyBorder="1"/>
    <xf numFmtId="3" fontId="6" fillId="2" borderId="0" xfId="0" applyNumberFormat="1" applyFont="1" applyFill="1"/>
    <xf numFmtId="3" fontId="2" fillId="2" borderId="0" xfId="0" applyNumberFormat="1" applyFont="1" applyFill="1"/>
    <xf numFmtId="0" fontId="3" fillId="2" borderId="8" xfId="0" applyFont="1" applyFill="1" applyBorder="1"/>
    <xf numFmtId="2" fontId="6" fillId="2" borderId="0" xfId="0" applyNumberFormat="1" applyFont="1" applyFill="1"/>
    <xf numFmtId="3" fontId="0" fillId="0" borderId="0" xfId="0" applyNumberFormat="1"/>
    <xf numFmtId="3" fontId="3" fillId="2" borderId="0" xfId="0" applyNumberFormat="1" applyFont="1" applyFill="1" applyAlignment="1">
      <alignment horizontal="center"/>
    </xf>
    <xf numFmtId="0" fontId="8" fillId="2" borderId="0" xfId="0" applyFont="1" applyFill="1"/>
    <xf numFmtId="0" fontId="0" fillId="2" borderId="1" xfId="0" applyFill="1" applyBorder="1"/>
    <xf numFmtId="0" fontId="0" fillId="2" borderId="6" xfId="0" applyFill="1" applyBorder="1"/>
    <xf numFmtId="0" fontId="0" fillId="6" borderId="0" xfId="0" applyFill="1"/>
    <xf numFmtId="164" fontId="0" fillId="7" borderId="0" xfId="0" applyNumberFormat="1" applyFill="1" applyAlignment="1">
      <alignment horizontal="right"/>
    </xf>
    <xf numFmtId="9" fontId="0" fillId="2" borderId="0" xfId="1" applyFont="1" applyFill="1"/>
    <xf numFmtId="164" fontId="0" fillId="2" borderId="0" xfId="0" applyNumberFormat="1" applyFill="1" applyAlignment="1">
      <alignment horizontal="right"/>
    </xf>
    <xf numFmtId="164" fontId="0" fillId="2" borderId="0" xfId="0" applyNumberFormat="1" applyFill="1"/>
    <xf numFmtId="164" fontId="0" fillId="2" borderId="2" xfId="0" applyNumberFormat="1" applyFill="1" applyBorder="1" applyAlignment="1">
      <alignment horizontal="right"/>
    </xf>
    <xf numFmtId="0" fontId="2" fillId="2" borderId="9" xfId="0" applyFont="1" applyFill="1" applyBorder="1"/>
    <xf numFmtId="0" fontId="0" fillId="2" borderId="10" xfId="0" applyFill="1" applyBorder="1"/>
    <xf numFmtId="0" fontId="0" fillId="8" borderId="0" xfId="0" applyFill="1"/>
    <xf numFmtId="0" fontId="3" fillId="9" borderId="0" xfId="0" applyFont="1" applyFill="1"/>
    <xf numFmtId="0" fontId="3" fillId="9" borderId="0" xfId="0" applyFont="1" applyFill="1" applyAlignment="1">
      <alignment horizontal="center"/>
    </xf>
    <xf numFmtId="164" fontId="0" fillId="10" borderId="0" xfId="0" applyNumberFormat="1" applyFill="1" applyAlignment="1">
      <alignment horizontal="left"/>
    </xf>
    <xf numFmtId="2" fontId="0" fillId="2" borderId="0" xfId="0" applyNumberFormat="1" applyFill="1"/>
    <xf numFmtId="164" fontId="3" fillId="10" borderId="0" xfId="1" applyNumberFormat="1" applyFont="1" applyFill="1" applyBorder="1" applyAlignment="1">
      <alignment horizontal="left"/>
    </xf>
    <xf numFmtId="164" fontId="0" fillId="10" borderId="0" xfId="1" applyNumberFormat="1" applyFont="1" applyFill="1" applyBorder="1" applyAlignment="1">
      <alignment horizontal="left"/>
    </xf>
    <xf numFmtId="3" fontId="3" fillId="8" borderId="0" xfId="0" applyNumberFormat="1" applyFont="1" applyFill="1"/>
    <xf numFmtId="1" fontId="3" fillId="2" borderId="1" xfId="0" applyNumberFormat="1" applyFont="1" applyFill="1" applyBorder="1"/>
    <xf numFmtId="1" fontId="3" fillId="2" borderId="12" xfId="0" applyNumberFormat="1" applyFont="1" applyFill="1" applyBorder="1"/>
    <xf numFmtId="14" fontId="3" fillId="2" borderId="0" xfId="0" applyNumberFormat="1" applyFont="1" applyFill="1"/>
    <xf numFmtId="9" fontId="3" fillId="2" borderId="0" xfId="1" applyFont="1" applyFill="1" applyAlignment="1">
      <alignment horizontal="left"/>
    </xf>
    <xf numFmtId="165" fontId="2" fillId="2" borderId="11" xfId="0" applyNumberFormat="1" applyFont="1" applyFill="1" applyBorder="1"/>
    <xf numFmtId="2" fontId="3" fillId="2" borderId="0" xfId="0" applyNumberFormat="1" applyFont="1" applyFill="1" applyAlignment="1">
      <alignment horizontal="left"/>
    </xf>
    <xf numFmtId="0" fontId="10" fillId="0" borderId="0" xfId="0" applyFont="1"/>
    <xf numFmtId="166" fontId="10" fillId="0" borderId="0" xfId="0" applyNumberFormat="1" applyFont="1"/>
    <xf numFmtId="3" fontId="10" fillId="0" borderId="0" xfId="0" applyNumberFormat="1" applyFont="1"/>
    <xf numFmtId="167" fontId="10" fillId="0" borderId="0" xfId="0" applyNumberFormat="1" applyFont="1"/>
    <xf numFmtId="168" fontId="10" fillId="0" borderId="0" xfId="0" applyNumberFormat="1" applyFont="1"/>
    <xf numFmtId="3" fontId="3" fillId="2" borderId="0" xfId="1" applyNumberFormat="1" applyFont="1" applyFill="1"/>
    <xf numFmtId="0" fontId="0" fillId="7" borderId="0" xfId="0" applyFill="1" applyAlignment="1">
      <alignment horizontal="right"/>
    </xf>
    <xf numFmtId="0" fontId="7" fillId="5" borderId="0" xfId="0" applyFont="1" applyFill="1"/>
    <xf numFmtId="164" fontId="7" fillId="5" borderId="0" xfId="1" applyNumberFormat="1" applyFont="1" applyFill="1"/>
    <xf numFmtId="0" fontId="11" fillId="5" borderId="0" xfId="0" applyFont="1" applyFill="1"/>
    <xf numFmtId="164" fontId="11" fillId="5" borderId="0" xfId="1" applyNumberFormat="1" applyFont="1" applyFill="1"/>
    <xf numFmtId="164" fontId="11" fillId="5" borderId="4" xfId="0" applyNumberFormat="1" applyFont="1" applyFill="1" applyBorder="1"/>
    <xf numFmtId="164" fontId="3" fillId="5" borderId="0" xfId="1" applyNumberFormat="1" applyFont="1" applyFill="1"/>
    <xf numFmtId="0" fontId="2" fillId="4" borderId="4" xfId="0" applyFont="1" applyFill="1" applyBorder="1"/>
    <xf numFmtId="1" fontId="0" fillId="2" borderId="4" xfId="0" applyNumberFormat="1" applyFill="1" applyBorder="1"/>
    <xf numFmtId="164" fontId="11" fillId="5" borderId="4" xfId="1" applyNumberFormat="1" applyFont="1" applyFill="1" applyBorder="1"/>
    <xf numFmtId="164" fontId="11" fillId="5" borderId="0" xfId="1" applyNumberFormat="1" applyFont="1" applyFill="1" applyBorder="1"/>
    <xf numFmtId="0" fontId="0" fillId="2" borderId="4" xfId="0" applyFill="1" applyBorder="1"/>
    <xf numFmtId="1" fontId="0" fillId="2" borderId="12" xfId="0" applyNumberFormat="1" applyFill="1" applyBorder="1"/>
    <xf numFmtId="1" fontId="0" fillId="2" borderId="1" xfId="0" applyNumberFormat="1" applyFill="1" applyBorder="1"/>
    <xf numFmtId="3" fontId="0" fillId="2" borderId="4" xfId="0" applyNumberFormat="1" applyFill="1" applyBorder="1"/>
    <xf numFmtId="164" fontId="11" fillId="2" borderId="4" xfId="1" applyNumberFormat="1" applyFont="1" applyFill="1" applyBorder="1"/>
    <xf numFmtId="164" fontId="11" fillId="2" borderId="0" xfId="1" applyNumberFormat="1" applyFont="1" applyFill="1" applyBorder="1"/>
    <xf numFmtId="1" fontId="0" fillId="2" borderId="4" xfId="1" applyNumberFormat="1" applyFont="1" applyFill="1" applyBorder="1"/>
    <xf numFmtId="1" fontId="0" fillId="2" borderId="0" xfId="1" applyNumberFormat="1" applyFont="1" applyFill="1" applyBorder="1"/>
    <xf numFmtId="10" fontId="11" fillId="5" borderId="4" xfId="0" applyNumberFormat="1" applyFont="1" applyFill="1" applyBorder="1"/>
    <xf numFmtId="0" fontId="2" fillId="3" borderId="4" xfId="0" applyFont="1" applyFill="1" applyBorder="1"/>
    <xf numFmtId="164" fontId="0" fillId="5" borderId="4" xfId="0" applyNumberFormat="1" applyFill="1" applyBorder="1"/>
    <xf numFmtId="0" fontId="0" fillId="0" borderId="0" xfId="0" applyAlignment="1">
      <alignment horizontal="left"/>
    </xf>
    <xf numFmtId="0" fontId="10" fillId="0" borderId="0" xfId="0" applyFont="1" applyAlignment="1">
      <alignment horizontal="left"/>
    </xf>
    <xf numFmtId="166" fontId="10" fillId="0" borderId="0" xfId="0" applyNumberFormat="1" applyFont="1" applyAlignment="1">
      <alignment horizontal="left"/>
    </xf>
    <xf numFmtId="3" fontId="10" fillId="0" borderId="0" xfId="0" applyNumberFormat="1" applyFont="1" applyAlignment="1">
      <alignment horizontal="left"/>
    </xf>
    <xf numFmtId="167" fontId="10" fillId="0" borderId="0" xfId="0" applyNumberFormat="1" applyFont="1" applyAlignment="1">
      <alignment horizontal="left"/>
    </xf>
    <xf numFmtId="0" fontId="2" fillId="4" borderId="0" xfId="0" applyFont="1" applyFill="1" applyBorder="1"/>
    <xf numFmtId="1" fontId="0" fillId="2" borderId="0" xfId="0" applyNumberFormat="1" applyFill="1" applyBorder="1"/>
    <xf numFmtId="164" fontId="7" fillId="5" borderId="0" xfId="1" applyNumberFormat="1" applyFont="1" applyFill="1" applyBorder="1"/>
    <xf numFmtId="0" fontId="0" fillId="2" borderId="0" xfId="0" applyFill="1" applyBorder="1"/>
    <xf numFmtId="164" fontId="11" fillId="5" borderId="0" xfId="0" applyNumberFormat="1" applyFont="1" applyFill="1" applyBorder="1"/>
    <xf numFmtId="3" fontId="0" fillId="2" borderId="0" xfId="0" applyNumberFormat="1" applyFill="1" applyBorder="1"/>
    <xf numFmtId="3" fontId="3" fillId="2" borderId="0" xfId="0" applyNumberFormat="1" applyFont="1" applyFill="1" applyBorder="1"/>
    <xf numFmtId="10" fontId="11" fillId="5" borderId="0" xfId="0" applyNumberFormat="1" applyFont="1" applyFill="1" applyBorder="1"/>
    <xf numFmtId="0" fontId="2" fillId="3" borderId="0" xfId="0" applyFont="1" applyFill="1" applyBorder="1"/>
    <xf numFmtId="164" fontId="0" fillId="5" borderId="0" xfId="0" applyNumberFormat="1" applyFill="1" applyBorder="1"/>
    <xf numFmtId="164" fontId="7" fillId="5" borderId="4" xfId="1" applyNumberFormat="1" applyFont="1" applyFill="1" applyBorder="1"/>
    <xf numFmtId="3" fontId="3" fillId="2" borderId="4" xfId="0" applyNumberFormat="1" applyFont="1" applyFill="1" applyBorder="1"/>
    <xf numFmtId="164" fontId="0" fillId="10" borderId="0" xfId="0" applyNumberFormat="1" applyFill="1" applyAlignment="1">
      <alignment horizontal="center"/>
    </xf>
    <xf numFmtId="2" fontId="0" fillId="2" borderId="0" xfId="0" applyNumberFormat="1" applyFill="1" applyAlignment="1">
      <alignment horizontal="center"/>
    </xf>
    <xf numFmtId="2" fontId="0" fillId="3" borderId="0" xfId="0" applyNumberFormat="1" applyFill="1" applyAlignment="1">
      <alignment horizontal="center"/>
    </xf>
    <xf numFmtId="2" fontId="9" fillId="11" borderId="0" xfId="0" applyNumberFormat="1" applyFont="1" applyFill="1" applyAlignment="1">
      <alignment horizontal="center"/>
    </xf>
    <xf numFmtId="2" fontId="3" fillId="2" borderId="0" xfId="0" applyNumberFormat="1" applyFont="1" applyFill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D9B77-4948-48A4-A619-C1F4913720ED}">
  <dimension ref="A1:CH72"/>
  <sheetViews>
    <sheetView tabSelected="1" workbookViewId="0">
      <selection activeCell="G2" sqref="G2"/>
    </sheetView>
  </sheetViews>
  <sheetFormatPr defaultRowHeight="15" x14ac:dyDescent="0.25"/>
  <cols>
    <col min="1" max="1" width="7.7109375" style="2" customWidth="1"/>
    <col min="2" max="2" width="17.140625" style="2" customWidth="1"/>
    <col min="3" max="6" width="9.140625" style="2"/>
    <col min="7" max="8" width="10.28515625" style="2" customWidth="1"/>
    <col min="9" max="18" width="10.85546875" style="2" customWidth="1"/>
    <col min="19" max="16384" width="9.140625" style="47"/>
  </cols>
  <sheetData>
    <row r="1" spans="1:86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86" ht="23.25" x14ac:dyDescent="0.35">
      <c r="A2" s="3"/>
      <c r="B2" s="4" t="s">
        <v>164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7"/>
    </row>
    <row r="3" spans="1:86" ht="21" x14ac:dyDescent="0.35">
      <c r="A3" s="1"/>
      <c r="B3" s="5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86" x14ac:dyDescent="0.25">
      <c r="A4" s="1"/>
      <c r="B4" s="6" t="s">
        <v>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86" x14ac:dyDescent="0.25">
      <c r="A5" s="1"/>
      <c r="B5" s="1"/>
      <c r="C5" s="7" t="s">
        <v>1</v>
      </c>
      <c r="D5" s="1"/>
      <c r="E5" s="8">
        <f>WACC!K14</f>
        <v>0.11297302320113216</v>
      </c>
      <c r="G5" s="1"/>
      <c r="H5" s="1" t="s">
        <v>2</v>
      </c>
      <c r="I5" s="1"/>
      <c r="J5" s="7">
        <v>190.38</v>
      </c>
      <c r="K5" s="1"/>
      <c r="L5" s="1" t="s">
        <v>3</v>
      </c>
      <c r="M5" s="1"/>
      <c r="N5" s="58">
        <f>(J6/J5)-1</f>
        <v>-3.6272396804124085E-2</v>
      </c>
      <c r="O5" s="1"/>
      <c r="P5" s="1"/>
      <c r="Q5" s="1"/>
    </row>
    <row r="6" spans="1:86" x14ac:dyDescent="0.25">
      <c r="A6" s="1"/>
      <c r="B6" s="1"/>
      <c r="C6" s="7" t="s">
        <v>4</v>
      </c>
      <c r="D6" s="1"/>
      <c r="E6" s="8">
        <v>0.04</v>
      </c>
      <c r="G6" s="1"/>
      <c r="H6" s="1" t="s">
        <v>5</v>
      </c>
      <c r="I6" s="1"/>
      <c r="J6" s="60">
        <f>D71</f>
        <v>183.47446109643084</v>
      </c>
      <c r="K6" s="1"/>
      <c r="L6" s="1" t="s">
        <v>53</v>
      </c>
      <c r="M6" s="1"/>
      <c r="N6" s="57">
        <v>45142</v>
      </c>
      <c r="O6" s="1"/>
      <c r="P6" s="1"/>
      <c r="Q6" s="1"/>
    </row>
    <row r="7" spans="1:86" x14ac:dyDescent="0.25">
      <c r="B7" s="57"/>
      <c r="C7" s="1"/>
      <c r="D7" s="1"/>
      <c r="E7" s="9"/>
      <c r="F7" s="1"/>
      <c r="G7" s="1"/>
      <c r="H7" s="1"/>
      <c r="I7" s="1"/>
      <c r="J7" s="1"/>
      <c r="K7" s="1"/>
      <c r="L7" s="51"/>
      <c r="M7" s="1"/>
      <c r="N7" s="1"/>
      <c r="O7" s="1"/>
      <c r="P7" s="1"/>
      <c r="Q7" s="1"/>
    </row>
    <row r="8" spans="1:86" x14ac:dyDescent="0.25">
      <c r="A8" s="1"/>
      <c r="B8" s="12"/>
      <c r="C8" s="1"/>
      <c r="D8" s="1"/>
      <c r="E8" s="35"/>
      <c r="F8" s="1"/>
      <c r="G8" s="1"/>
      <c r="H8" s="12"/>
      <c r="I8" s="1"/>
      <c r="J8" s="1"/>
      <c r="K8" s="1"/>
      <c r="L8" s="1"/>
      <c r="M8" s="1"/>
      <c r="N8" s="1"/>
      <c r="O8" s="1"/>
      <c r="P8" s="1"/>
      <c r="Q8" s="1"/>
    </row>
    <row r="9" spans="1:86" x14ac:dyDescent="0.25">
      <c r="A9" s="1"/>
      <c r="B9" s="1"/>
      <c r="C9" s="1"/>
      <c r="D9" s="1"/>
      <c r="E9" s="1"/>
      <c r="F9" s="1"/>
      <c r="G9" s="1"/>
      <c r="H9" s="1"/>
      <c r="I9" s="1">
        <v>1</v>
      </c>
      <c r="J9" s="1">
        <f>I9+1</f>
        <v>2</v>
      </c>
      <c r="K9" s="1">
        <f t="shared" ref="K9:R9" si="0">J9+1</f>
        <v>3</v>
      </c>
      <c r="L9" s="1">
        <f t="shared" si="0"/>
        <v>4</v>
      </c>
      <c r="M9" s="1">
        <f t="shared" si="0"/>
        <v>5</v>
      </c>
      <c r="N9" s="1">
        <f t="shared" si="0"/>
        <v>6</v>
      </c>
      <c r="O9" s="1">
        <f t="shared" si="0"/>
        <v>7</v>
      </c>
      <c r="P9" s="1">
        <f t="shared" si="0"/>
        <v>8</v>
      </c>
      <c r="Q9" s="1">
        <f t="shared" si="0"/>
        <v>9</v>
      </c>
      <c r="R9" s="1">
        <f t="shared" si="0"/>
        <v>10</v>
      </c>
    </row>
    <row r="10" spans="1:86" x14ac:dyDescent="0.25">
      <c r="A10" s="1"/>
      <c r="B10" s="10" t="s">
        <v>6</v>
      </c>
      <c r="C10" s="10">
        <v>2017</v>
      </c>
      <c r="D10" s="10">
        <v>2018</v>
      </c>
      <c r="E10" s="10">
        <v>2019</v>
      </c>
      <c r="F10" s="11">
        <v>2020</v>
      </c>
      <c r="G10" s="10">
        <v>2021</v>
      </c>
      <c r="H10" s="10">
        <v>2022</v>
      </c>
      <c r="I10" s="74">
        <v>2023</v>
      </c>
      <c r="J10" s="94">
        <v>2024</v>
      </c>
      <c r="K10" s="94">
        <v>2025</v>
      </c>
      <c r="L10" s="94">
        <v>2026</v>
      </c>
      <c r="M10" s="94">
        <v>2027</v>
      </c>
      <c r="N10" s="94">
        <v>2028</v>
      </c>
      <c r="O10" s="94">
        <v>2029</v>
      </c>
      <c r="P10" s="94">
        <v>2030</v>
      </c>
      <c r="Q10" s="94">
        <v>2031</v>
      </c>
      <c r="R10" s="94">
        <v>2032</v>
      </c>
      <c r="S10" s="10">
        <v>2033</v>
      </c>
      <c r="T10" s="10">
        <v>2034</v>
      </c>
      <c r="U10" s="10">
        <v>2035</v>
      </c>
      <c r="V10" s="10">
        <v>2036</v>
      </c>
      <c r="W10" s="10">
        <v>2037</v>
      </c>
      <c r="X10" s="10">
        <v>2038</v>
      </c>
      <c r="Y10" s="10">
        <v>2039</v>
      </c>
      <c r="Z10" s="10">
        <v>2040</v>
      </c>
      <c r="AA10" s="10">
        <v>2041</v>
      </c>
      <c r="AB10" s="10">
        <v>2042</v>
      </c>
      <c r="AC10" s="10">
        <v>2043</v>
      </c>
      <c r="AD10" s="10">
        <v>2044</v>
      </c>
      <c r="AE10" s="10">
        <v>2045</v>
      </c>
      <c r="AF10" s="10">
        <v>2046</v>
      </c>
      <c r="AG10" s="10">
        <v>2047</v>
      </c>
      <c r="AH10" s="10">
        <v>2048</v>
      </c>
      <c r="AI10" s="10">
        <v>2049</v>
      </c>
      <c r="AJ10" s="10">
        <v>2050</v>
      </c>
      <c r="AK10" s="10">
        <v>2051</v>
      </c>
      <c r="AL10" s="10">
        <v>2052</v>
      </c>
      <c r="AM10" s="10">
        <v>2053</v>
      </c>
      <c r="AN10" s="10">
        <v>2054</v>
      </c>
      <c r="AO10" s="10">
        <v>2055</v>
      </c>
      <c r="AP10" s="10">
        <v>2056</v>
      </c>
      <c r="AQ10" s="10">
        <v>2057</v>
      </c>
      <c r="AR10" s="10">
        <v>2058</v>
      </c>
      <c r="AS10" s="10">
        <v>2059</v>
      </c>
      <c r="AT10" s="10">
        <v>2060</v>
      </c>
      <c r="AU10" s="10">
        <v>2061</v>
      </c>
      <c r="AV10" s="10">
        <v>2062</v>
      </c>
      <c r="AW10" s="10">
        <v>2063</v>
      </c>
      <c r="AX10" s="10">
        <v>2064</v>
      </c>
      <c r="AY10" s="10">
        <v>2065</v>
      </c>
      <c r="AZ10" s="10">
        <v>2066</v>
      </c>
      <c r="BA10" s="10">
        <v>2067</v>
      </c>
      <c r="BB10" s="10">
        <v>2068</v>
      </c>
      <c r="BC10" s="10">
        <v>2069</v>
      </c>
      <c r="BD10" s="10">
        <v>2070</v>
      </c>
      <c r="BE10" s="10">
        <v>2071</v>
      </c>
      <c r="BF10" s="10">
        <v>2072</v>
      </c>
      <c r="BG10" s="10">
        <v>2073</v>
      </c>
      <c r="BH10" s="10">
        <v>2074</v>
      </c>
      <c r="BI10" s="10">
        <v>2075</v>
      </c>
      <c r="BJ10" s="10">
        <v>2076</v>
      </c>
      <c r="BK10" s="10">
        <v>2077</v>
      </c>
      <c r="BL10" s="10">
        <v>2078</v>
      </c>
      <c r="BM10" s="10">
        <v>2079</v>
      </c>
      <c r="BN10" s="10">
        <v>2080</v>
      </c>
      <c r="BO10" s="10">
        <v>2081</v>
      </c>
      <c r="BP10" s="10">
        <v>2082</v>
      </c>
      <c r="BQ10" s="10">
        <v>2083</v>
      </c>
      <c r="BR10" s="10">
        <v>2084</v>
      </c>
      <c r="BS10" s="10">
        <v>2085</v>
      </c>
      <c r="BT10" s="10">
        <v>2086</v>
      </c>
      <c r="BU10" s="10">
        <v>2087</v>
      </c>
      <c r="BV10" s="10">
        <v>2088</v>
      </c>
      <c r="BW10" s="10">
        <v>2089</v>
      </c>
      <c r="BX10" s="10">
        <v>2090</v>
      </c>
      <c r="BY10" s="10">
        <v>2091</v>
      </c>
      <c r="BZ10" s="10">
        <v>2092</v>
      </c>
      <c r="CA10" s="10">
        <v>2093</v>
      </c>
      <c r="CB10" s="10">
        <v>2094</v>
      </c>
      <c r="CC10" s="10">
        <v>2095</v>
      </c>
      <c r="CD10" s="10">
        <v>2096</v>
      </c>
      <c r="CE10" s="10">
        <v>2097</v>
      </c>
      <c r="CF10" s="10">
        <v>2098</v>
      </c>
      <c r="CG10" s="10">
        <v>2099</v>
      </c>
      <c r="CH10" s="10">
        <v>2100</v>
      </c>
    </row>
    <row r="11" spans="1:86" x14ac:dyDescent="0.25">
      <c r="A11" s="1"/>
      <c r="B11" s="1" t="s">
        <v>7</v>
      </c>
      <c r="C11" s="12">
        <f>'Raw IS'!L3</f>
        <v>607045</v>
      </c>
      <c r="D11" s="12">
        <f>'Raw IS'!M3</f>
        <v>937237</v>
      </c>
      <c r="E11" s="12">
        <f>'Raw IS'!N3</f>
        <v>1425660</v>
      </c>
      <c r="F11" s="12">
        <f>'Raw IS'!D5</f>
        <v>1459271</v>
      </c>
      <c r="G11" s="12">
        <f>'Raw IS'!E5</f>
        <v>1963865</v>
      </c>
      <c r="H11" s="12">
        <f>'Raw IS'!F5</f>
        <v>3110279</v>
      </c>
      <c r="I11" s="75">
        <f>H11*(1+I12)</f>
        <v>3790000</v>
      </c>
      <c r="J11" s="95">
        <f t="shared" ref="J11:R11" si="1">I11*(1+J12)</f>
        <v>4710000</v>
      </c>
      <c r="K11" s="95">
        <f t="shared" si="1"/>
        <v>5580000</v>
      </c>
      <c r="L11" s="95">
        <f t="shared" si="1"/>
        <v>6160000</v>
      </c>
      <c r="M11" s="95">
        <f t="shared" si="1"/>
        <v>6610000</v>
      </c>
      <c r="N11" s="95">
        <f t="shared" si="1"/>
        <v>6810000.0000000009</v>
      </c>
      <c r="O11" s="95">
        <f t="shared" si="1"/>
        <v>7380000.0000000009</v>
      </c>
      <c r="P11" s="95">
        <f t="shared" si="1"/>
        <v>7990000.0000000009</v>
      </c>
      <c r="Q11" s="95">
        <f t="shared" si="1"/>
        <v>8650000.0000000019</v>
      </c>
      <c r="R11" s="95">
        <f t="shared" si="1"/>
        <v>10330000.000000002</v>
      </c>
    </row>
    <row r="12" spans="1:86" x14ac:dyDescent="0.25">
      <c r="A12" s="1"/>
      <c r="B12" s="68" t="s">
        <v>8</v>
      </c>
      <c r="C12" s="69"/>
      <c r="D12" s="69">
        <f>(D11/C11)-1</f>
        <v>0.54393331631098185</v>
      </c>
      <c r="E12" s="69">
        <f>(E11/D11)-1</f>
        <v>0.52113072787352621</v>
      </c>
      <c r="F12" s="69">
        <f>(F11/E11)-1</f>
        <v>2.3575747373146383E-2</v>
      </c>
      <c r="G12" s="69">
        <f>(G11/F11)-1</f>
        <v>0.34578498442030292</v>
      </c>
      <c r="H12" s="69">
        <f>(H11/G11)-1</f>
        <v>0.58375397494226955</v>
      </c>
      <c r="I12" s="104">
        <v>0.21854020169894728</v>
      </c>
      <c r="J12" s="96">
        <v>0.24274406332453835</v>
      </c>
      <c r="K12" s="96">
        <v>0.1847133757961783</v>
      </c>
      <c r="L12" s="96">
        <v>0.10394265232974909</v>
      </c>
      <c r="M12" s="96">
        <v>7.3051948051948035E-2</v>
      </c>
      <c r="N12" s="96">
        <v>3.0257186081694476E-2</v>
      </c>
      <c r="O12" s="96">
        <v>8.3700440528634346E-2</v>
      </c>
      <c r="P12" s="96">
        <v>8.2655826558265533E-2</v>
      </c>
      <c r="Q12" s="96">
        <v>8.2603254067584508E-2</v>
      </c>
      <c r="R12" s="96">
        <v>0.19421965317919065</v>
      </c>
    </row>
    <row r="13" spans="1:86" x14ac:dyDescent="0.25">
      <c r="A13" s="1"/>
      <c r="B13" s="6"/>
      <c r="C13" s="1"/>
      <c r="D13" s="1"/>
      <c r="E13" s="1"/>
      <c r="F13" s="1"/>
      <c r="G13" s="1"/>
      <c r="H13" s="1"/>
      <c r="I13" s="78"/>
      <c r="J13" s="97"/>
      <c r="K13" s="97"/>
      <c r="L13" s="97"/>
      <c r="M13" s="97"/>
      <c r="N13" s="97"/>
      <c r="O13" s="97"/>
      <c r="P13" s="97"/>
      <c r="Q13" s="97"/>
      <c r="R13" s="97"/>
    </row>
    <row r="14" spans="1:86" x14ac:dyDescent="0.25">
      <c r="A14" s="1"/>
      <c r="B14" s="1" t="s">
        <v>9</v>
      </c>
      <c r="C14" s="12">
        <f>'Raw IS'!L4</f>
        <v>392279</v>
      </c>
      <c r="D14" s="12">
        <f>'Raw IS'!M4</f>
        <v>618001</v>
      </c>
      <c r="E14" s="12">
        <f>'Raw IS'!N4</f>
        <v>946322</v>
      </c>
      <c r="F14" s="12">
        <f>'Raw IS'!D6</f>
        <v>997912</v>
      </c>
      <c r="G14" s="12">
        <f>'Raw IS'!E6</f>
        <v>1334547</v>
      </c>
      <c r="H14" s="12">
        <f>'Raw IS'!F6</f>
        <v>2265631</v>
      </c>
      <c r="I14" s="79">
        <f>I11-I16</f>
        <v>2615479</v>
      </c>
      <c r="J14" s="80">
        <f>J11-J16</f>
        <v>3222111</v>
      </c>
      <c r="K14" s="80">
        <f>K11-K16</f>
        <v>3812814</v>
      </c>
      <c r="L14" s="80">
        <f t="shared" ref="L14:R14" si="2">L11-L16</f>
        <v>4178328</v>
      </c>
      <c r="M14" s="80">
        <f t="shared" si="2"/>
        <v>4478275</v>
      </c>
      <c r="N14" s="80">
        <f t="shared" si="2"/>
        <v>4613775</v>
      </c>
      <c r="O14" s="80">
        <f t="shared" si="2"/>
        <v>5007330</v>
      </c>
      <c r="P14" s="80">
        <f t="shared" si="2"/>
        <v>5425210</v>
      </c>
      <c r="Q14" s="80">
        <f t="shared" si="2"/>
        <v>5877675.0000000019</v>
      </c>
      <c r="R14" s="80">
        <f t="shared" si="2"/>
        <v>7220670.0000000019</v>
      </c>
    </row>
    <row r="15" spans="1:86" x14ac:dyDescent="0.25">
      <c r="A15" s="1"/>
      <c r="B15" s="18"/>
      <c r="C15" s="18"/>
      <c r="D15" s="18"/>
      <c r="E15" s="18"/>
      <c r="F15" s="18"/>
      <c r="G15" s="18"/>
      <c r="H15" s="18"/>
      <c r="I15" s="78"/>
      <c r="J15" s="97"/>
      <c r="K15" s="97"/>
      <c r="L15" s="97"/>
      <c r="M15" s="97"/>
      <c r="N15" s="97"/>
      <c r="O15" s="97"/>
      <c r="P15" s="97"/>
      <c r="Q15" s="97"/>
      <c r="R15" s="97"/>
    </row>
    <row r="16" spans="1:86" x14ac:dyDescent="0.25">
      <c r="A16" s="1"/>
      <c r="B16" s="1" t="s">
        <v>10</v>
      </c>
      <c r="C16" s="12">
        <f t="shared" ref="C16:H16" si="3">C11-C14</f>
        <v>214766</v>
      </c>
      <c r="D16" s="12">
        <f t="shared" si="3"/>
        <v>319236</v>
      </c>
      <c r="E16" s="12">
        <f t="shared" si="3"/>
        <v>479338</v>
      </c>
      <c r="F16" s="12">
        <f t="shared" si="3"/>
        <v>461359</v>
      </c>
      <c r="G16" s="12">
        <f t="shared" si="3"/>
        <v>629318</v>
      </c>
      <c r="H16" s="12">
        <f t="shared" si="3"/>
        <v>844648</v>
      </c>
      <c r="I16" s="75">
        <f>I11*I17</f>
        <v>1174521</v>
      </c>
      <c r="J16" s="95">
        <f t="shared" ref="J16:R16" si="4">J11*J17</f>
        <v>1487889</v>
      </c>
      <c r="K16" s="95">
        <f t="shared" si="4"/>
        <v>1767186</v>
      </c>
      <c r="L16" s="95">
        <f t="shared" si="4"/>
        <v>1981672</v>
      </c>
      <c r="M16" s="95">
        <f t="shared" si="4"/>
        <v>2131725</v>
      </c>
      <c r="N16" s="95">
        <f t="shared" si="4"/>
        <v>2196225.0000000005</v>
      </c>
      <c r="O16" s="95">
        <f t="shared" si="4"/>
        <v>2372670.0000000005</v>
      </c>
      <c r="P16" s="95">
        <f t="shared" si="4"/>
        <v>2564790.0000000005</v>
      </c>
      <c r="Q16" s="95">
        <f t="shared" si="4"/>
        <v>2772325.0000000005</v>
      </c>
      <c r="R16" s="95">
        <f t="shared" si="4"/>
        <v>3109330.0000000005</v>
      </c>
    </row>
    <row r="17" spans="1:18" x14ac:dyDescent="0.25">
      <c r="A17" s="1"/>
      <c r="B17" s="70" t="s">
        <v>11</v>
      </c>
      <c r="C17" s="71">
        <f t="shared" ref="C17:H17" si="5">C16/C11</f>
        <v>0.35378925779802156</v>
      </c>
      <c r="D17" s="71">
        <f t="shared" si="5"/>
        <v>0.34061395356777419</v>
      </c>
      <c r="E17" s="71">
        <f t="shared" si="5"/>
        <v>0.33622182006930124</v>
      </c>
      <c r="F17" s="71">
        <f t="shared" si="5"/>
        <v>0.31615717711103697</v>
      </c>
      <c r="G17" s="71">
        <f t="shared" si="5"/>
        <v>0.32044870701397499</v>
      </c>
      <c r="H17" s="71">
        <f t="shared" si="5"/>
        <v>0.27156663437588718</v>
      </c>
      <c r="I17" s="72">
        <v>0.30990000000000001</v>
      </c>
      <c r="J17" s="98">
        <v>0.31590000000000001</v>
      </c>
      <c r="K17" s="98">
        <v>0.31669999999999998</v>
      </c>
      <c r="L17" s="98">
        <v>0.32169999999999999</v>
      </c>
      <c r="M17" s="98">
        <v>0.32250000000000001</v>
      </c>
      <c r="N17" s="98">
        <v>0.32250000000000001</v>
      </c>
      <c r="O17" s="98">
        <v>0.32150000000000001</v>
      </c>
      <c r="P17" s="98">
        <v>0.32100000000000001</v>
      </c>
      <c r="Q17" s="98">
        <v>0.32050000000000001</v>
      </c>
      <c r="R17" s="98">
        <v>0.30099999999999999</v>
      </c>
    </row>
    <row r="18" spans="1:18" x14ac:dyDescent="0.25">
      <c r="A18" s="1"/>
      <c r="B18" s="6"/>
      <c r="C18" s="1"/>
      <c r="D18" s="1"/>
      <c r="E18" s="1"/>
      <c r="F18" s="1"/>
      <c r="G18" s="1"/>
      <c r="H18" s="1"/>
      <c r="I18" s="78"/>
      <c r="J18" s="97"/>
      <c r="K18" s="97"/>
      <c r="L18" s="97"/>
      <c r="M18" s="97"/>
      <c r="N18" s="97"/>
      <c r="O18" s="97"/>
      <c r="P18" s="97"/>
      <c r="Q18" s="97"/>
      <c r="R18" s="97"/>
    </row>
    <row r="19" spans="1:18" x14ac:dyDescent="0.25">
      <c r="A19" s="1"/>
      <c r="B19" s="1" t="s">
        <v>12</v>
      </c>
      <c r="C19" s="12">
        <f>'Raw IS'!L10</f>
        <v>54966</v>
      </c>
      <c r="D19" s="12">
        <f>'Raw IS'!M10</f>
        <v>82245</v>
      </c>
      <c r="E19" s="12">
        <f>'Raw IS'!N10</f>
        <v>121351</v>
      </c>
      <c r="F19" s="12">
        <f>'Raw IS'!D9</f>
        <v>163123</v>
      </c>
      <c r="G19" s="12">
        <f>'Raw IS'!E9</f>
        <v>219633</v>
      </c>
      <c r="H19" s="12">
        <f>'Raw IS'!F9</f>
        <v>289814</v>
      </c>
      <c r="I19" s="75">
        <f>I20*I11</f>
        <v>351388.02995550295</v>
      </c>
      <c r="J19" s="95">
        <f t="shared" ref="J19:R19" si="6">J20*J11</f>
        <v>412544.90507863287</v>
      </c>
      <c r="K19" s="95">
        <f t="shared" si="6"/>
        <v>455346.78187445272</v>
      </c>
      <c r="L19" s="95">
        <f t="shared" si="6"/>
        <v>541618.70155685488</v>
      </c>
      <c r="M19" s="95">
        <f t="shared" si="6"/>
        <v>572904.13743341086</v>
      </c>
      <c r="N19" s="95">
        <f t="shared" si="6"/>
        <v>613814.2491099746</v>
      </c>
      <c r="O19" s="95">
        <f t="shared" si="6"/>
        <v>650728.94310825493</v>
      </c>
      <c r="P19" s="95">
        <f t="shared" si="6"/>
        <v>691779.51868757093</v>
      </c>
      <c r="Q19" s="95">
        <f t="shared" si="6"/>
        <v>729931.07538508554</v>
      </c>
      <c r="R19" s="95">
        <f t="shared" si="6"/>
        <v>851096.79860912077</v>
      </c>
    </row>
    <row r="20" spans="1:18" x14ac:dyDescent="0.25">
      <c r="A20" s="1"/>
      <c r="B20" s="68" t="s">
        <v>18</v>
      </c>
      <c r="C20" s="69">
        <f t="shared" ref="C20:H20" si="7">C19/C11</f>
        <v>9.0546829312489183E-2</v>
      </c>
      <c r="D20" s="69">
        <f t="shared" si="7"/>
        <v>8.7752617534305619E-2</v>
      </c>
      <c r="E20" s="69">
        <f t="shared" si="7"/>
        <v>8.5119172874317861E-2</v>
      </c>
      <c r="F20" s="69">
        <f t="shared" si="7"/>
        <v>0.11178389757625554</v>
      </c>
      <c r="G20" s="69">
        <f t="shared" si="7"/>
        <v>0.11183711711344721</v>
      </c>
      <c r="H20" s="69">
        <f t="shared" si="7"/>
        <v>9.3179422167593326E-2</v>
      </c>
      <c r="I20" s="104">
        <v>9.2714519777177554E-2</v>
      </c>
      <c r="J20" s="96">
        <v>8.7589151821365785E-2</v>
      </c>
      <c r="K20" s="96">
        <v>8.1603365927321272E-2</v>
      </c>
      <c r="L20" s="96">
        <v>8.7925113889099821E-2</v>
      </c>
      <c r="M20" s="96">
        <v>8.667233546647668E-2</v>
      </c>
      <c r="N20" s="96">
        <v>9.0134250970627688E-2</v>
      </c>
      <c r="O20" s="96">
        <v>8.8174653537703915E-2</v>
      </c>
      <c r="P20" s="96">
        <v>8.6580665668031395E-2</v>
      </c>
      <c r="Q20" s="96">
        <v>8.4385095420241085E-2</v>
      </c>
      <c r="R20" s="96">
        <v>8.2390783989266275E-2</v>
      </c>
    </row>
    <row r="21" spans="1:18" x14ac:dyDescent="0.25">
      <c r="A21" s="1"/>
      <c r="B21" s="14"/>
      <c r="C21" s="12"/>
      <c r="D21" s="12"/>
      <c r="E21" s="12"/>
      <c r="F21" s="12"/>
      <c r="G21" s="12"/>
      <c r="H21" s="12"/>
      <c r="I21" s="75"/>
      <c r="J21" s="95"/>
      <c r="K21" s="95"/>
      <c r="L21" s="95"/>
      <c r="M21" s="95"/>
      <c r="N21" s="95"/>
      <c r="O21" s="95"/>
      <c r="P21" s="95"/>
      <c r="Q21" s="95"/>
      <c r="R21" s="95"/>
    </row>
    <row r="22" spans="1:18" x14ac:dyDescent="0.25">
      <c r="A22" s="1"/>
      <c r="B22" s="1" t="s">
        <v>54</v>
      </c>
      <c r="C22" s="12">
        <f>'Raw IS'!L11</f>
        <v>50032</v>
      </c>
      <c r="D22" s="12">
        <f>'Raw IS'!M11</f>
        <v>68307</v>
      </c>
      <c r="E22" s="12">
        <f>'Raw IS'!N11</f>
        <v>87984</v>
      </c>
      <c r="F22" s="12">
        <f>'Raw IS'!D10</f>
        <v>95985</v>
      </c>
      <c r="G22" s="12">
        <f>'Raw IS'!E10</f>
        <v>119000</v>
      </c>
      <c r="H22" s="12">
        <f>'Raw IS'!F10</f>
        <v>159680</v>
      </c>
      <c r="I22" s="75">
        <f>I23*I11</f>
        <v>190386.57926953078</v>
      </c>
      <c r="J22" s="95">
        <f t="shared" ref="J22:R22" si="8">J23*J11</f>
        <v>223522.16517716969</v>
      </c>
      <c r="K22" s="95">
        <f t="shared" si="8"/>
        <v>246712.77559865723</v>
      </c>
      <c r="L22" s="95">
        <f t="shared" si="8"/>
        <v>293456.0174712622</v>
      </c>
      <c r="M22" s="95">
        <f t="shared" si="8"/>
        <v>310406.87125603121</v>
      </c>
      <c r="N22" s="95">
        <f t="shared" si="8"/>
        <v>332572.49886896322</v>
      </c>
      <c r="O22" s="95">
        <f t="shared" si="8"/>
        <v>352573.35750949249</v>
      </c>
      <c r="P22" s="95">
        <f t="shared" si="8"/>
        <v>374815.09028161038</v>
      </c>
      <c r="Q22" s="95">
        <f t="shared" si="8"/>
        <v>395486.09712941677</v>
      </c>
      <c r="R22" s="95">
        <f t="shared" si="8"/>
        <v>461135.25305616821</v>
      </c>
    </row>
    <row r="23" spans="1:18" x14ac:dyDescent="0.25">
      <c r="A23" s="1"/>
      <c r="B23" s="68" t="s">
        <v>18</v>
      </c>
      <c r="C23" s="69">
        <f t="shared" ref="C23:H23" si="9">C22/C11</f>
        <v>8.2418931051240027E-2</v>
      </c>
      <c r="D23" s="69">
        <f t="shared" si="9"/>
        <v>7.2881245618770921E-2</v>
      </c>
      <c r="E23" s="69">
        <f t="shared" si="9"/>
        <v>6.1714574302428347E-2</v>
      </c>
      <c r="F23" s="69">
        <f t="shared" si="9"/>
        <v>6.5775993629695925E-2</v>
      </c>
      <c r="G23" s="69">
        <f t="shared" si="9"/>
        <v>6.0594796485501805E-2</v>
      </c>
      <c r="H23" s="69">
        <f t="shared" si="9"/>
        <v>5.133944575390182E-2</v>
      </c>
      <c r="I23" s="104">
        <v>5.023392592863609E-2</v>
      </c>
      <c r="J23" s="96">
        <v>4.7456935281777003E-2</v>
      </c>
      <c r="K23" s="96">
        <v>4.4213759067859716E-2</v>
      </c>
      <c r="L23" s="96">
        <v>4.7638963875204901E-2</v>
      </c>
      <c r="M23" s="96">
        <v>4.6960192323151469E-2</v>
      </c>
      <c r="N23" s="96">
        <v>4.8835902917615734E-2</v>
      </c>
      <c r="O23" s="96">
        <v>4.7774167684213067E-2</v>
      </c>
      <c r="P23" s="96">
        <v>4.6910524440752235E-2</v>
      </c>
      <c r="Q23" s="96">
        <v>4.5720936084325627E-2</v>
      </c>
      <c r="R23" s="96">
        <v>4.464039235780911E-2</v>
      </c>
    </row>
    <row r="24" spans="1:18" x14ac:dyDescent="0.25">
      <c r="A24" s="1"/>
      <c r="B24" s="14"/>
      <c r="C24" s="12"/>
      <c r="D24" s="12"/>
      <c r="E24" s="12"/>
      <c r="F24" s="12"/>
      <c r="G24" s="12"/>
      <c r="H24" s="12"/>
      <c r="I24" s="75"/>
      <c r="J24" s="95"/>
      <c r="K24" s="95"/>
      <c r="L24" s="95"/>
      <c r="M24" s="95"/>
      <c r="N24" s="95"/>
      <c r="O24" s="95"/>
      <c r="P24" s="95"/>
      <c r="Q24" s="95"/>
      <c r="R24" s="95"/>
    </row>
    <row r="25" spans="1:18" x14ac:dyDescent="0.25">
      <c r="A25" s="1"/>
      <c r="B25" s="1" t="s">
        <v>55</v>
      </c>
      <c r="C25" s="12">
        <f>'Raw IS'!L12</f>
        <v>18682</v>
      </c>
      <c r="D25" s="12">
        <f>'Raw IS'!M12</f>
        <v>29264</v>
      </c>
      <c r="E25" s="12">
        <f>'Raw IS'!N12</f>
        <v>49361</v>
      </c>
      <c r="F25" s="12">
        <f>'Raw IS'!D11</f>
        <v>63119</v>
      </c>
      <c r="G25" s="12">
        <f>'Raw IS'!E11</f>
        <v>82196</v>
      </c>
      <c r="H25" s="12">
        <f>'Raw IS'!F11</f>
        <v>112496</v>
      </c>
      <c r="I25" s="81">
        <f>I26*I11</f>
        <v>131504.32999696094</v>
      </c>
      <c r="J25" s="99">
        <f t="shared" ref="J25:R25" si="10">J26*J11</f>
        <v>154391.83099918184</v>
      </c>
      <c r="K25" s="99">
        <f t="shared" si="10"/>
        <v>170410.11179081703</v>
      </c>
      <c r="L25" s="99">
        <f t="shared" si="10"/>
        <v>202696.72951317535</v>
      </c>
      <c r="M25" s="99">
        <f t="shared" si="10"/>
        <v>214405.06882151883</v>
      </c>
      <c r="N25" s="99">
        <f t="shared" si="10"/>
        <v>229715.37073137221</v>
      </c>
      <c r="O25" s="99">
        <f t="shared" si="10"/>
        <v>243530.41759538016</v>
      </c>
      <c r="P25" s="99">
        <f t="shared" si="10"/>
        <v>258893.2870654391</v>
      </c>
      <c r="Q25" s="99">
        <f t="shared" si="10"/>
        <v>273171.22050125664</v>
      </c>
      <c r="R25" s="99">
        <f t="shared" si="10"/>
        <v>318516.58201852773</v>
      </c>
    </row>
    <row r="26" spans="1:18" x14ac:dyDescent="0.25">
      <c r="A26" s="1"/>
      <c r="B26" s="68" t="s">
        <v>18</v>
      </c>
      <c r="C26" s="69">
        <f t="shared" ref="C26:H26" si="11">C25/C11</f>
        <v>3.0775313197538897E-2</v>
      </c>
      <c r="D26" s="69">
        <f t="shared" si="11"/>
        <v>3.122369261990297E-2</v>
      </c>
      <c r="E26" s="69">
        <f t="shared" si="11"/>
        <v>3.4623262208380683E-2</v>
      </c>
      <c r="F26" s="69">
        <f t="shared" si="11"/>
        <v>4.3253789049463739E-2</v>
      </c>
      <c r="G26" s="69">
        <f t="shared" si="11"/>
        <v>4.1854200772456357E-2</v>
      </c>
      <c r="H26" s="69">
        <f t="shared" si="11"/>
        <v>3.6169102514597568E-2</v>
      </c>
      <c r="I26" s="104">
        <v>3.4697712400253544E-2</v>
      </c>
      <c r="J26" s="96">
        <v>3.2779581953117164E-2</v>
      </c>
      <c r="K26" s="96">
        <v>3.053944655749409E-2</v>
      </c>
      <c r="L26" s="96">
        <v>3.2905313232658336E-2</v>
      </c>
      <c r="M26" s="96">
        <v>3.2436470320955951E-2</v>
      </c>
      <c r="N26" s="96">
        <v>3.3732066186691952E-2</v>
      </c>
      <c r="O26" s="96">
        <v>3.2998701571189719E-2</v>
      </c>
      <c r="P26" s="96">
        <v>3.2402163587664463E-2</v>
      </c>
      <c r="Q26" s="96">
        <v>3.1580487919220412E-2</v>
      </c>
      <c r="R26" s="96">
        <v>3.0834131850777123E-2</v>
      </c>
    </row>
    <row r="27" spans="1:18" x14ac:dyDescent="0.25">
      <c r="A27" s="1"/>
      <c r="B27" s="14"/>
      <c r="C27" s="12"/>
      <c r="D27" s="12"/>
      <c r="E27" s="12"/>
      <c r="F27" s="12"/>
      <c r="G27" s="12"/>
      <c r="H27" s="12"/>
      <c r="I27" s="81"/>
      <c r="J27" s="99"/>
      <c r="K27" s="99"/>
      <c r="L27" s="99"/>
      <c r="M27" s="99"/>
      <c r="N27" s="99"/>
      <c r="O27" s="99"/>
      <c r="P27" s="99"/>
      <c r="Q27" s="99"/>
      <c r="R27" s="99"/>
    </row>
    <row r="28" spans="1:18" x14ac:dyDescent="0.25">
      <c r="A28" s="1"/>
      <c r="B28" s="1" t="s">
        <v>57</v>
      </c>
      <c r="C28" s="12">
        <v>0</v>
      </c>
      <c r="D28" s="12">
        <v>0</v>
      </c>
      <c r="E28" s="12">
        <f>'Raw IS'!N13</f>
        <v>30696</v>
      </c>
      <c r="F28" s="12">
        <f>'Raw IS'!D12</f>
        <v>-3429</v>
      </c>
      <c r="G28" s="12">
        <f>'Raw IS'!E12</f>
        <v>1350</v>
      </c>
      <c r="H28" s="12">
        <f>'Raw IS'!F12</f>
        <v>116538</v>
      </c>
      <c r="I28" s="81">
        <f>I29*I11</f>
        <v>2159.8477480156853</v>
      </c>
      <c r="J28" s="99">
        <f t="shared" ref="J28:R28" si="12">J29*J11</f>
        <v>2535.7556553712529</v>
      </c>
      <c r="K28" s="99">
        <f t="shared" si="12"/>
        <v>2798.842412253674</v>
      </c>
      <c r="L28" s="99">
        <f t="shared" si="12"/>
        <v>3329.1228872790248</v>
      </c>
      <c r="M28" s="99">
        <f t="shared" si="12"/>
        <v>3521.4224890390092</v>
      </c>
      <c r="N28" s="99">
        <f t="shared" si="12"/>
        <v>3772.8812896899185</v>
      </c>
      <c r="O28" s="99">
        <f t="shared" si="12"/>
        <v>3999.7817868723932</v>
      </c>
      <c r="P28" s="99">
        <f t="shared" si="12"/>
        <v>4252.1039653796142</v>
      </c>
      <c r="Q28" s="99">
        <f t="shared" si="12"/>
        <v>4486.6069842412826</v>
      </c>
      <c r="R28" s="99">
        <f t="shared" si="12"/>
        <v>5231.3663161834211</v>
      </c>
    </row>
    <row r="29" spans="1:18" x14ac:dyDescent="0.25">
      <c r="A29" s="1"/>
      <c r="B29" s="68" t="s">
        <v>18</v>
      </c>
      <c r="C29" s="69">
        <f t="shared" ref="C29:H29" si="13">C28/C11</f>
        <v>0</v>
      </c>
      <c r="D29" s="69">
        <f t="shared" si="13"/>
        <v>0</v>
      </c>
      <c r="E29" s="69">
        <f t="shared" si="13"/>
        <v>2.153108034173646E-2</v>
      </c>
      <c r="F29" s="69">
        <f t="shared" si="13"/>
        <v>-2.3498034292465208E-3</v>
      </c>
      <c r="G29" s="69">
        <f t="shared" si="13"/>
        <v>6.8741996012964234E-4</v>
      </c>
      <c r="H29" s="69">
        <f t="shared" si="13"/>
        <v>3.7468664386699713E-2</v>
      </c>
      <c r="I29" s="104">
        <v>5.6988067229965316E-4</v>
      </c>
      <c r="J29" s="96">
        <v>5.3837699689410895E-4</v>
      </c>
      <c r="K29" s="96">
        <v>5.0158466169420682E-4</v>
      </c>
      <c r="L29" s="96">
        <v>5.4044202715568582E-4</v>
      </c>
      <c r="M29" s="96">
        <v>5.3274167761558386E-4</v>
      </c>
      <c r="N29" s="96">
        <v>5.540207473847163E-4</v>
      </c>
      <c r="O29" s="96">
        <v>5.4197585187972799E-4</v>
      </c>
      <c r="P29" s="96">
        <v>5.3217821844550866E-4</v>
      </c>
      <c r="Q29" s="96">
        <v>5.1868288835159326E-4</v>
      </c>
      <c r="R29" s="96">
        <v>5.0642461918522946E-4</v>
      </c>
    </row>
    <row r="30" spans="1:18" x14ac:dyDescent="0.25">
      <c r="A30" s="1"/>
      <c r="B30" s="1"/>
      <c r="C30" s="12"/>
      <c r="D30" s="12"/>
      <c r="E30" s="12"/>
      <c r="F30" s="1"/>
      <c r="G30" s="1"/>
      <c r="H30" s="1"/>
      <c r="I30" s="81"/>
      <c r="J30" s="99"/>
      <c r="K30" s="99"/>
      <c r="L30" s="99"/>
      <c r="M30" s="99"/>
      <c r="N30" s="99"/>
      <c r="O30" s="99"/>
      <c r="P30" s="99"/>
      <c r="Q30" s="99"/>
      <c r="R30" s="99"/>
    </row>
    <row r="31" spans="1:18" x14ac:dyDescent="0.25">
      <c r="A31" s="1"/>
      <c r="B31" s="1" t="s">
        <v>13</v>
      </c>
      <c r="C31" s="12">
        <f>C19+C22+C25+C28</f>
        <v>123680</v>
      </c>
      <c r="D31" s="12">
        <f t="shared" ref="D31:R31" si="14">D19+D22+D25+D28</f>
        <v>179816</v>
      </c>
      <c r="E31" s="12">
        <f t="shared" si="14"/>
        <v>289392</v>
      </c>
      <c r="F31" s="12">
        <f t="shared" si="14"/>
        <v>318798</v>
      </c>
      <c r="G31" s="12">
        <f t="shared" si="14"/>
        <v>422179</v>
      </c>
      <c r="H31" s="12">
        <f t="shared" si="14"/>
        <v>678528</v>
      </c>
      <c r="I31" s="105">
        <f t="shared" si="14"/>
        <v>675438.78697001038</v>
      </c>
      <c r="J31" s="100">
        <f t="shared" si="14"/>
        <v>792994.65691035567</v>
      </c>
      <c r="K31" s="100">
        <f t="shared" si="14"/>
        <v>875268.51167618064</v>
      </c>
      <c r="L31" s="100">
        <f t="shared" si="14"/>
        <v>1041100.5714285715</v>
      </c>
      <c r="M31" s="100">
        <f t="shared" si="14"/>
        <v>1101237.4999999998</v>
      </c>
      <c r="N31" s="100">
        <f t="shared" si="14"/>
        <v>1179875</v>
      </c>
      <c r="O31" s="100">
        <f t="shared" si="14"/>
        <v>1250832.5</v>
      </c>
      <c r="P31" s="100">
        <f t="shared" si="14"/>
        <v>1329740</v>
      </c>
      <c r="Q31" s="100">
        <f t="shared" si="14"/>
        <v>1403075.0000000002</v>
      </c>
      <c r="R31" s="100">
        <f t="shared" si="14"/>
        <v>1635980</v>
      </c>
    </row>
    <row r="32" spans="1:18" x14ac:dyDescent="0.25">
      <c r="A32" s="1"/>
      <c r="B32" s="68" t="s">
        <v>18</v>
      </c>
      <c r="C32" s="69">
        <f t="shared" ref="C32:R32" si="15">C31/C11</f>
        <v>0.20374107356126811</v>
      </c>
      <c r="D32" s="69">
        <f t="shared" si="15"/>
        <v>0.19185755577297953</v>
      </c>
      <c r="E32" s="69">
        <f t="shared" si="15"/>
        <v>0.20298808972686336</v>
      </c>
      <c r="F32" s="69">
        <f t="shared" si="15"/>
        <v>0.21846387682616869</v>
      </c>
      <c r="G32" s="69">
        <f t="shared" si="15"/>
        <v>0.21497353433153502</v>
      </c>
      <c r="H32" s="69">
        <f t="shared" si="15"/>
        <v>0.21815663482279243</v>
      </c>
      <c r="I32" s="76">
        <f t="shared" si="15"/>
        <v>0.17821603877836686</v>
      </c>
      <c r="J32" s="77">
        <f t="shared" si="15"/>
        <v>0.16836404605315408</v>
      </c>
      <c r="K32" s="77">
        <f t="shared" si="15"/>
        <v>0.1568581562143693</v>
      </c>
      <c r="L32" s="77">
        <f t="shared" si="15"/>
        <v>0.16900983302411873</v>
      </c>
      <c r="M32" s="77">
        <f t="shared" si="15"/>
        <v>0.16660173978819967</v>
      </c>
      <c r="N32" s="77">
        <f t="shared" si="15"/>
        <v>0.17325624082232011</v>
      </c>
      <c r="O32" s="77">
        <f t="shared" si="15"/>
        <v>0.16948949864498644</v>
      </c>
      <c r="P32" s="77">
        <f t="shared" si="15"/>
        <v>0.16642553191489359</v>
      </c>
      <c r="Q32" s="77">
        <f t="shared" si="15"/>
        <v>0.16220520231213872</v>
      </c>
      <c r="R32" s="77">
        <f t="shared" si="15"/>
        <v>0.15837173281703773</v>
      </c>
    </row>
    <row r="33" spans="1:86" x14ac:dyDescent="0.25">
      <c r="A33" s="1"/>
      <c r="B33" s="1"/>
      <c r="C33" s="15"/>
      <c r="D33" s="15"/>
      <c r="E33" s="15"/>
      <c r="F33" s="15"/>
      <c r="G33" s="15"/>
      <c r="H33" s="15"/>
      <c r="I33" s="82"/>
      <c r="J33" s="83"/>
      <c r="K33" s="83"/>
      <c r="L33" s="83"/>
      <c r="M33" s="83"/>
      <c r="N33" s="83"/>
      <c r="O33" s="83"/>
      <c r="P33" s="83"/>
      <c r="Q33" s="83"/>
      <c r="R33" s="83"/>
    </row>
    <row r="34" spans="1:86" x14ac:dyDescent="0.25">
      <c r="A34" s="1"/>
      <c r="B34" s="1" t="s">
        <v>14</v>
      </c>
      <c r="C34" s="12">
        <f>C16-C31</f>
        <v>91086</v>
      </c>
      <c r="D34" s="12">
        <f t="shared" ref="D34:R34" si="16">D16-D31</f>
        <v>139420</v>
      </c>
      <c r="E34" s="12">
        <f t="shared" si="16"/>
        <v>189946</v>
      </c>
      <c r="F34" s="12">
        <f t="shared" si="16"/>
        <v>142561</v>
      </c>
      <c r="G34" s="12">
        <f t="shared" si="16"/>
        <v>207139</v>
      </c>
      <c r="H34" s="12">
        <f t="shared" si="16"/>
        <v>166120</v>
      </c>
      <c r="I34" s="105">
        <f t="shared" si="16"/>
        <v>499082.21302998962</v>
      </c>
      <c r="J34" s="100">
        <f t="shared" si="16"/>
        <v>694894.34308964433</v>
      </c>
      <c r="K34" s="100">
        <f t="shared" si="16"/>
        <v>891917.48832381936</v>
      </c>
      <c r="L34" s="100">
        <f t="shared" si="16"/>
        <v>940571.42857142852</v>
      </c>
      <c r="M34" s="100">
        <f t="shared" si="16"/>
        <v>1030487.5000000002</v>
      </c>
      <c r="N34" s="100">
        <f t="shared" si="16"/>
        <v>1016350.0000000005</v>
      </c>
      <c r="O34" s="100">
        <f t="shared" si="16"/>
        <v>1121837.5000000005</v>
      </c>
      <c r="P34" s="100">
        <f t="shared" si="16"/>
        <v>1235050.0000000005</v>
      </c>
      <c r="Q34" s="100">
        <f t="shared" si="16"/>
        <v>1369250.0000000002</v>
      </c>
      <c r="R34" s="100">
        <f t="shared" si="16"/>
        <v>1473350.0000000005</v>
      </c>
    </row>
    <row r="35" spans="1:86" x14ac:dyDescent="0.25">
      <c r="A35" s="1"/>
      <c r="B35" s="1" t="s">
        <v>15</v>
      </c>
      <c r="C35" s="66">
        <f>'Raw IS'!L19</f>
        <v>-9158</v>
      </c>
      <c r="D35" s="66">
        <f>'Raw IS'!M19</f>
        <v>2297</v>
      </c>
      <c r="E35" s="66">
        <f>'Raw IS'!N19</f>
        <v>11343</v>
      </c>
      <c r="F35" s="66">
        <f>'Raw IS'!D15</f>
        <v>21105</v>
      </c>
      <c r="G35" s="66">
        <f>'Raw IS'!E15</f>
        <v>-19915</v>
      </c>
      <c r="H35" s="66">
        <f>'Raw IS'!F15+'Raw IS'!F16</f>
        <v>11035</v>
      </c>
      <c r="I35" s="84">
        <f>I36*I11</f>
        <v>15160</v>
      </c>
      <c r="J35" s="85">
        <f t="shared" ref="J35:R35" si="17">J36*J11</f>
        <v>18840</v>
      </c>
      <c r="K35" s="85">
        <f t="shared" si="17"/>
        <v>22320</v>
      </c>
      <c r="L35" s="85">
        <f t="shared" si="17"/>
        <v>24640</v>
      </c>
      <c r="M35" s="85">
        <f t="shared" si="17"/>
        <v>26440</v>
      </c>
      <c r="N35" s="85">
        <f t="shared" si="17"/>
        <v>27240.000000000004</v>
      </c>
      <c r="O35" s="85">
        <f t="shared" si="17"/>
        <v>29520.000000000004</v>
      </c>
      <c r="P35" s="85">
        <f t="shared" si="17"/>
        <v>31960.000000000004</v>
      </c>
      <c r="Q35" s="85">
        <f t="shared" si="17"/>
        <v>34600.000000000007</v>
      </c>
      <c r="R35" s="85">
        <f t="shared" si="17"/>
        <v>41320.000000000007</v>
      </c>
    </row>
    <row r="36" spans="1:86" x14ac:dyDescent="0.25">
      <c r="A36" s="1"/>
      <c r="B36" s="68" t="s">
        <v>18</v>
      </c>
      <c r="C36" s="69">
        <f t="shared" ref="C36:H36" si="18">C35/C11</f>
        <v>-1.5086196245747844E-2</v>
      </c>
      <c r="D36" s="69">
        <f t="shared" si="18"/>
        <v>2.4508208702814765E-3</v>
      </c>
      <c r="E36" s="69">
        <f t="shared" si="18"/>
        <v>7.9563149699086733E-3</v>
      </c>
      <c r="F36" s="69">
        <f t="shared" si="18"/>
        <v>1.4462700896543548E-2</v>
      </c>
      <c r="G36" s="69">
        <f t="shared" si="18"/>
        <v>-1.014071741183839E-2</v>
      </c>
      <c r="H36" s="69">
        <f t="shared" si="18"/>
        <v>3.5479132257909981E-3</v>
      </c>
      <c r="I36" s="76">
        <v>4.0000000000000001E-3</v>
      </c>
      <c r="J36" s="77">
        <v>4.0000000000000001E-3</v>
      </c>
      <c r="K36" s="77">
        <v>4.0000000000000001E-3</v>
      </c>
      <c r="L36" s="77">
        <v>4.0000000000000001E-3</v>
      </c>
      <c r="M36" s="77">
        <v>4.0000000000000001E-3</v>
      </c>
      <c r="N36" s="77">
        <v>4.0000000000000001E-3</v>
      </c>
      <c r="O36" s="77">
        <v>4.0000000000000001E-3</v>
      </c>
      <c r="P36" s="77">
        <v>4.0000000000000001E-3</v>
      </c>
      <c r="Q36" s="77">
        <v>4.0000000000000001E-3</v>
      </c>
      <c r="R36" s="77">
        <v>4.0000000000000001E-3</v>
      </c>
    </row>
    <row r="37" spans="1:86" x14ac:dyDescent="0.25">
      <c r="A37" s="1"/>
      <c r="B37" s="1"/>
      <c r="C37" s="20"/>
      <c r="D37" s="20"/>
      <c r="E37" s="20"/>
      <c r="F37" s="20"/>
      <c r="G37" s="20"/>
      <c r="H37" s="20"/>
      <c r="I37" s="78"/>
      <c r="J37" s="97"/>
      <c r="K37" s="97"/>
      <c r="L37" s="97"/>
      <c r="M37" s="97"/>
      <c r="N37" s="97"/>
      <c r="O37" s="97"/>
      <c r="P37" s="97"/>
      <c r="Q37" s="97"/>
      <c r="R37" s="97"/>
    </row>
    <row r="38" spans="1:86" x14ac:dyDescent="0.25">
      <c r="A38" s="1"/>
      <c r="B38" s="1" t="s">
        <v>16</v>
      </c>
      <c r="C38" s="12">
        <f>C34-C35</f>
        <v>100244</v>
      </c>
      <c r="D38" s="12">
        <f>D34-D35</f>
        <v>137123</v>
      </c>
      <c r="E38" s="12">
        <f>E34-E35</f>
        <v>178603</v>
      </c>
      <c r="F38" s="12">
        <f>F34+F35</f>
        <v>163666</v>
      </c>
      <c r="G38" s="12">
        <f t="shared" ref="G38:R38" si="19">G34+G35</f>
        <v>187224</v>
      </c>
      <c r="H38" s="12">
        <f t="shared" si="19"/>
        <v>177155</v>
      </c>
      <c r="I38" s="105">
        <f t="shared" si="19"/>
        <v>514242.21302998962</v>
      </c>
      <c r="J38" s="100">
        <f t="shared" si="19"/>
        <v>713734.34308964433</v>
      </c>
      <c r="K38" s="100">
        <f t="shared" si="19"/>
        <v>914237.48832381936</v>
      </c>
      <c r="L38" s="100">
        <f t="shared" si="19"/>
        <v>965211.42857142852</v>
      </c>
      <c r="M38" s="100">
        <f t="shared" si="19"/>
        <v>1056927.5000000002</v>
      </c>
      <c r="N38" s="100">
        <f t="shared" si="19"/>
        <v>1043590.0000000005</v>
      </c>
      <c r="O38" s="100">
        <f t="shared" si="19"/>
        <v>1151357.5000000005</v>
      </c>
      <c r="P38" s="100">
        <f t="shared" si="19"/>
        <v>1267010.0000000005</v>
      </c>
      <c r="Q38" s="100">
        <f t="shared" si="19"/>
        <v>1403850.0000000002</v>
      </c>
      <c r="R38" s="100">
        <f t="shared" si="19"/>
        <v>1514670.0000000005</v>
      </c>
    </row>
    <row r="39" spans="1:86" x14ac:dyDescent="0.25">
      <c r="A39" s="1"/>
      <c r="B39" s="1"/>
      <c r="C39" s="20"/>
      <c r="D39" s="20"/>
      <c r="E39" s="20"/>
      <c r="F39" s="20"/>
      <c r="G39" s="20"/>
      <c r="H39" s="20"/>
      <c r="I39" s="78"/>
      <c r="J39" s="97"/>
      <c r="K39" s="97"/>
      <c r="L39" s="97"/>
      <c r="M39" s="97"/>
      <c r="N39" s="97"/>
      <c r="O39" s="97"/>
      <c r="P39" s="97"/>
      <c r="Q39" s="97"/>
      <c r="R39" s="97"/>
    </row>
    <row r="40" spans="1:86" x14ac:dyDescent="0.25">
      <c r="A40" s="1"/>
      <c r="B40" s="1" t="s">
        <v>17</v>
      </c>
      <c r="C40" s="12">
        <f t="shared" ref="C40:R40" si="20">C34</f>
        <v>91086</v>
      </c>
      <c r="D40" s="12">
        <f t="shared" si="20"/>
        <v>139420</v>
      </c>
      <c r="E40" s="12">
        <f t="shared" si="20"/>
        <v>189946</v>
      </c>
      <c r="F40" s="12">
        <f t="shared" si="20"/>
        <v>142561</v>
      </c>
      <c r="G40" s="12">
        <f t="shared" si="20"/>
        <v>207139</v>
      </c>
      <c r="H40" s="12">
        <f t="shared" si="20"/>
        <v>166120</v>
      </c>
      <c r="I40" s="105">
        <f t="shared" si="20"/>
        <v>499082.21302998962</v>
      </c>
      <c r="J40" s="100">
        <f t="shared" si="20"/>
        <v>694894.34308964433</v>
      </c>
      <c r="K40" s="100">
        <f t="shared" si="20"/>
        <v>891917.48832381936</v>
      </c>
      <c r="L40" s="100">
        <f t="shared" si="20"/>
        <v>940571.42857142852</v>
      </c>
      <c r="M40" s="100">
        <f t="shared" si="20"/>
        <v>1030487.5000000002</v>
      </c>
      <c r="N40" s="100">
        <f t="shared" si="20"/>
        <v>1016350.0000000005</v>
      </c>
      <c r="O40" s="100">
        <f t="shared" si="20"/>
        <v>1121837.5000000005</v>
      </c>
      <c r="P40" s="100">
        <f t="shared" si="20"/>
        <v>1235050.0000000005</v>
      </c>
      <c r="Q40" s="100">
        <f t="shared" si="20"/>
        <v>1369250.0000000002</v>
      </c>
      <c r="R40" s="100">
        <f t="shared" si="20"/>
        <v>1473350.0000000005</v>
      </c>
    </row>
    <row r="41" spans="1:86" x14ac:dyDescent="0.25">
      <c r="A41" s="1"/>
      <c r="B41" s="68" t="s">
        <v>18</v>
      </c>
      <c r="C41" s="69">
        <f t="shared" ref="C41:H41" si="21">C40/C11</f>
        <v>0.15004818423675345</v>
      </c>
      <c r="D41" s="69">
        <f t="shared" si="21"/>
        <v>0.14875639779479469</v>
      </c>
      <c r="E41" s="69">
        <f t="shared" si="21"/>
        <v>0.13323373034243788</v>
      </c>
      <c r="F41" s="69">
        <f t="shared" si="21"/>
        <v>9.7693300284868265E-2</v>
      </c>
      <c r="G41" s="69">
        <f t="shared" si="21"/>
        <v>0.10547517268243999</v>
      </c>
      <c r="H41" s="69">
        <f t="shared" si="21"/>
        <v>5.3409999553094757E-2</v>
      </c>
      <c r="I41" s="76">
        <f t="shared" ref="I41:R41" si="22">I40/I11</f>
        <v>0.13168396122163314</v>
      </c>
      <c r="J41" s="77">
        <f t="shared" si="22"/>
        <v>0.14753595394684593</v>
      </c>
      <c r="K41" s="77">
        <f t="shared" si="22"/>
        <v>0.15984184378563071</v>
      </c>
      <c r="L41" s="77">
        <f t="shared" si="22"/>
        <v>0.15269016697588125</v>
      </c>
      <c r="M41" s="77">
        <f t="shared" si="22"/>
        <v>0.15589826021180034</v>
      </c>
      <c r="N41" s="77">
        <f t="shared" si="22"/>
        <v>0.14924375917767993</v>
      </c>
      <c r="O41" s="77">
        <f t="shared" si="22"/>
        <v>0.15201050135501359</v>
      </c>
      <c r="P41" s="77">
        <f t="shared" si="22"/>
        <v>0.15457446808510641</v>
      </c>
      <c r="Q41" s="77">
        <f t="shared" si="22"/>
        <v>0.15829479768786126</v>
      </c>
      <c r="R41" s="77">
        <f t="shared" si="22"/>
        <v>0.14262826718296226</v>
      </c>
    </row>
    <row r="42" spans="1:86" x14ac:dyDescent="0.25">
      <c r="A42" s="1"/>
      <c r="B42" s="14"/>
      <c r="C42" s="1"/>
      <c r="D42" s="1"/>
      <c r="E42" s="1"/>
      <c r="G42" s="1"/>
      <c r="H42" s="1"/>
      <c r="I42" s="78"/>
      <c r="J42" s="97"/>
      <c r="K42" s="97"/>
      <c r="L42" s="97"/>
      <c r="M42" s="97"/>
      <c r="N42" s="97"/>
      <c r="O42" s="97"/>
      <c r="P42" s="97"/>
      <c r="Q42" s="97"/>
      <c r="R42" s="97"/>
    </row>
    <row r="43" spans="1:86" x14ac:dyDescent="0.25">
      <c r="A43" s="1"/>
      <c r="B43" s="1" t="s">
        <v>19</v>
      </c>
      <c r="C43" s="19">
        <f>'Raw IS'!L23</f>
        <v>16072</v>
      </c>
      <c r="D43" s="19">
        <f>'Raw IS'!M23</f>
        <v>9077</v>
      </c>
      <c r="E43" s="19">
        <f>'Raw IS'!N23</f>
        <v>33646</v>
      </c>
      <c r="F43" s="21">
        <f>'Raw IS'!D18</f>
        <v>23344</v>
      </c>
      <c r="G43" s="21">
        <f>'Raw IS'!E18</f>
        <v>18054</v>
      </c>
      <c r="H43" s="21">
        <f>'Raw IS'!F18</f>
        <v>83376</v>
      </c>
      <c r="I43" s="75">
        <f>I44*I40</f>
        <v>112992.21302998965</v>
      </c>
      <c r="J43" s="95">
        <f t="shared" ref="J43:R43" si="23">J44*J40</f>
        <v>165454.34308964433</v>
      </c>
      <c r="K43" s="95">
        <f t="shared" si="23"/>
        <v>204427.48832381939</v>
      </c>
      <c r="L43" s="95">
        <f t="shared" si="23"/>
        <v>216331.42857142858</v>
      </c>
      <c r="M43" s="95">
        <f t="shared" si="23"/>
        <v>206097.50000000006</v>
      </c>
      <c r="N43" s="95">
        <f t="shared" si="23"/>
        <v>203270.00000000012</v>
      </c>
      <c r="O43" s="95">
        <f t="shared" si="23"/>
        <v>224367.50000000012</v>
      </c>
      <c r="P43" s="95">
        <f t="shared" si="23"/>
        <v>247010.00000000012</v>
      </c>
      <c r="Q43" s="95">
        <f t="shared" si="23"/>
        <v>273850.00000000006</v>
      </c>
      <c r="R43" s="95">
        <f t="shared" si="23"/>
        <v>294670.00000000012</v>
      </c>
    </row>
    <row r="44" spans="1:86" x14ac:dyDescent="0.25">
      <c r="A44" s="1"/>
      <c r="B44" s="68" t="s">
        <v>20</v>
      </c>
      <c r="C44" s="73">
        <f t="shared" ref="C44:H44" si="24">C43/C40</f>
        <v>0.17644863096414379</v>
      </c>
      <c r="D44" s="73">
        <f t="shared" si="24"/>
        <v>6.5105436809639941E-2</v>
      </c>
      <c r="E44" s="73">
        <f t="shared" si="24"/>
        <v>0.1771345540311457</v>
      </c>
      <c r="F44" s="73">
        <f t="shared" si="24"/>
        <v>0.16374744846065895</v>
      </c>
      <c r="G44" s="73">
        <f t="shared" si="24"/>
        <v>8.7158864337473871E-2</v>
      </c>
      <c r="H44" s="73">
        <f t="shared" si="24"/>
        <v>0.50190223934505174</v>
      </c>
      <c r="I44" s="86">
        <v>0.22639999999999999</v>
      </c>
      <c r="J44" s="101">
        <v>0.23810000000000001</v>
      </c>
      <c r="K44" s="101">
        <v>0.22919999999999999</v>
      </c>
      <c r="L44" s="101">
        <v>0.23</v>
      </c>
      <c r="M44" s="101">
        <v>0.2</v>
      </c>
      <c r="N44" s="101">
        <v>0.2</v>
      </c>
      <c r="O44" s="101">
        <v>0.2</v>
      </c>
      <c r="P44" s="101">
        <v>0.2</v>
      </c>
      <c r="Q44" s="101">
        <v>0.2</v>
      </c>
      <c r="R44" s="101">
        <v>0.2</v>
      </c>
    </row>
    <row r="45" spans="1:86" x14ac:dyDescent="0.25">
      <c r="A45" s="1"/>
      <c r="B45" s="1"/>
      <c r="C45" s="1"/>
      <c r="D45" s="1"/>
      <c r="E45" s="1"/>
      <c r="F45" s="1"/>
      <c r="G45" s="1"/>
      <c r="H45" s="1"/>
      <c r="I45" s="78"/>
      <c r="J45" s="97"/>
      <c r="K45" s="97"/>
      <c r="L45" s="97"/>
      <c r="M45" s="97"/>
      <c r="N45" s="97"/>
      <c r="O45" s="97"/>
      <c r="P45" s="97"/>
      <c r="Q45" s="97"/>
      <c r="R45" s="97"/>
    </row>
    <row r="46" spans="1:86" x14ac:dyDescent="0.25">
      <c r="A46" s="1"/>
      <c r="B46" s="10" t="s">
        <v>21</v>
      </c>
      <c r="C46" s="10">
        <v>2017</v>
      </c>
      <c r="D46" s="10">
        <v>2018</v>
      </c>
      <c r="E46" s="10">
        <v>2019</v>
      </c>
      <c r="F46" s="10">
        <v>2020</v>
      </c>
      <c r="G46" s="10">
        <v>2021</v>
      </c>
      <c r="H46" s="10">
        <v>2022</v>
      </c>
      <c r="I46" s="87">
        <v>2023</v>
      </c>
      <c r="J46" s="102">
        <v>2024</v>
      </c>
      <c r="K46" s="102">
        <v>2025</v>
      </c>
      <c r="L46" s="102">
        <v>2026</v>
      </c>
      <c r="M46" s="102">
        <v>2027</v>
      </c>
      <c r="N46" s="102">
        <v>2028</v>
      </c>
      <c r="O46" s="102">
        <v>2029</v>
      </c>
      <c r="P46" s="102">
        <v>2030</v>
      </c>
      <c r="Q46" s="102">
        <v>2031</v>
      </c>
      <c r="R46" s="102">
        <v>2032</v>
      </c>
      <c r="S46" s="10">
        <v>2033</v>
      </c>
      <c r="T46" s="10">
        <v>2034</v>
      </c>
      <c r="U46" s="10">
        <v>2035</v>
      </c>
      <c r="V46" s="10">
        <v>2036</v>
      </c>
      <c r="W46" s="10">
        <v>2037</v>
      </c>
      <c r="X46" s="10">
        <v>2038</v>
      </c>
      <c r="Y46" s="10">
        <v>2039</v>
      </c>
      <c r="Z46" s="10">
        <v>2040</v>
      </c>
      <c r="AA46" s="10">
        <v>2041</v>
      </c>
      <c r="AB46" s="10">
        <v>2042</v>
      </c>
      <c r="AC46" s="10">
        <v>2043</v>
      </c>
      <c r="AD46" s="10">
        <v>2044</v>
      </c>
      <c r="AE46" s="10">
        <v>2045</v>
      </c>
      <c r="AF46" s="10">
        <v>2046</v>
      </c>
      <c r="AG46" s="10">
        <v>2047</v>
      </c>
      <c r="AH46" s="10">
        <v>2048</v>
      </c>
      <c r="AI46" s="10">
        <v>2049</v>
      </c>
      <c r="AJ46" s="10">
        <v>2050</v>
      </c>
      <c r="AK46" s="10">
        <v>2051</v>
      </c>
      <c r="AL46" s="10">
        <v>2052</v>
      </c>
      <c r="AM46" s="10">
        <v>2053</v>
      </c>
      <c r="AN46" s="10">
        <v>2054</v>
      </c>
      <c r="AO46" s="10">
        <v>2055</v>
      </c>
      <c r="AP46" s="10">
        <v>2056</v>
      </c>
      <c r="AQ46" s="10">
        <v>2057</v>
      </c>
      <c r="AR46" s="10">
        <v>2058</v>
      </c>
      <c r="AS46" s="10">
        <v>2059</v>
      </c>
      <c r="AT46" s="10">
        <v>2060</v>
      </c>
      <c r="AU46" s="10">
        <v>2061</v>
      </c>
      <c r="AV46" s="10">
        <v>2062</v>
      </c>
      <c r="AW46" s="10">
        <v>2063</v>
      </c>
      <c r="AX46" s="10">
        <v>2064</v>
      </c>
      <c r="AY46" s="10">
        <v>2065</v>
      </c>
      <c r="AZ46" s="10">
        <v>2066</v>
      </c>
      <c r="BA46" s="10">
        <v>2067</v>
      </c>
      <c r="BB46" s="10">
        <v>2068</v>
      </c>
      <c r="BC46" s="10">
        <v>2069</v>
      </c>
      <c r="BD46" s="10">
        <v>2070</v>
      </c>
      <c r="BE46" s="10">
        <v>2071</v>
      </c>
      <c r="BF46" s="10">
        <v>2072</v>
      </c>
      <c r="BG46" s="10">
        <v>2073</v>
      </c>
      <c r="BH46" s="10">
        <v>2074</v>
      </c>
      <c r="BI46" s="10">
        <v>2075</v>
      </c>
      <c r="BJ46" s="10">
        <v>2076</v>
      </c>
      <c r="BK46" s="10">
        <v>2077</v>
      </c>
      <c r="BL46" s="10">
        <v>2078</v>
      </c>
      <c r="BM46" s="10">
        <v>2079</v>
      </c>
      <c r="BN46" s="10">
        <v>2080</v>
      </c>
      <c r="BO46" s="10">
        <v>2081</v>
      </c>
      <c r="BP46" s="10">
        <v>2082</v>
      </c>
      <c r="BQ46" s="10">
        <v>2083</v>
      </c>
      <c r="BR46" s="10">
        <v>2084</v>
      </c>
      <c r="BS46" s="10">
        <v>2085</v>
      </c>
      <c r="BT46" s="10">
        <v>2086</v>
      </c>
      <c r="BU46" s="10">
        <v>2087</v>
      </c>
      <c r="BV46" s="10">
        <v>2088</v>
      </c>
      <c r="BW46" s="10">
        <v>2089</v>
      </c>
      <c r="BX46" s="10">
        <v>2090</v>
      </c>
      <c r="BY46" s="10">
        <v>2091</v>
      </c>
      <c r="BZ46" s="10">
        <v>2092</v>
      </c>
      <c r="CA46" s="10">
        <v>2093</v>
      </c>
      <c r="CB46" s="10">
        <v>2094</v>
      </c>
      <c r="CC46" s="10">
        <v>2095</v>
      </c>
      <c r="CD46" s="10">
        <v>2096</v>
      </c>
      <c r="CE46" s="10">
        <v>2097</v>
      </c>
      <c r="CF46" s="10">
        <v>2098</v>
      </c>
      <c r="CG46" s="10">
        <v>2099</v>
      </c>
      <c r="CH46" s="10">
        <v>2100</v>
      </c>
    </row>
    <row r="47" spans="1:86" x14ac:dyDescent="0.25">
      <c r="A47" s="1"/>
      <c r="B47" s="1" t="s">
        <v>22</v>
      </c>
      <c r="C47" s="12">
        <f>'Raw CF'!M6+'Raw CF'!M7</f>
        <v>7155</v>
      </c>
      <c r="D47" s="12">
        <f>'Raw CF'!N6+'Raw CF'!N7</f>
        <v>12619</v>
      </c>
      <c r="E47" s="12">
        <f>'Raw CF'!O6+'Raw CF'!O7</f>
        <v>26895</v>
      </c>
      <c r="F47" s="21">
        <f>'Raw CF'!D8+'Raw CF'!D9</f>
        <v>31834</v>
      </c>
      <c r="G47" s="21">
        <f>'Raw CF'!E8+'Raw CF'!E9</f>
        <v>39535</v>
      </c>
      <c r="H47" s="21">
        <f>'Raw CF'!F8+'Raw CF'!F9</f>
        <v>49676</v>
      </c>
      <c r="I47" s="75">
        <f>I48*I11</f>
        <v>57340</v>
      </c>
      <c r="J47" s="95">
        <f t="shared" ref="J47:R47" si="25">J48*J11</f>
        <v>63870</v>
      </c>
      <c r="K47" s="95">
        <f t="shared" si="25"/>
        <v>72120</v>
      </c>
      <c r="L47" s="95">
        <f t="shared" si="25"/>
        <v>76500</v>
      </c>
      <c r="M47" s="95">
        <f t="shared" si="25"/>
        <v>101000</v>
      </c>
      <c r="N47" s="95">
        <f t="shared" si="25"/>
        <v>111000.00000000001</v>
      </c>
      <c r="O47" s="95">
        <f t="shared" si="25"/>
        <v>123000.00000000001</v>
      </c>
      <c r="P47" s="95">
        <f t="shared" si="25"/>
        <v>135000</v>
      </c>
      <c r="Q47" s="95">
        <f t="shared" si="25"/>
        <v>148000.00000000003</v>
      </c>
      <c r="R47" s="95">
        <f t="shared" si="25"/>
        <v>163000.00000000006</v>
      </c>
    </row>
    <row r="48" spans="1:86" x14ac:dyDescent="0.25">
      <c r="A48" s="1"/>
      <c r="B48" s="68" t="s">
        <v>18</v>
      </c>
      <c r="C48" s="69">
        <f t="shared" ref="C48:R48" si="26">C47/C11</f>
        <v>1.1786605605844706E-2</v>
      </c>
      <c r="D48" s="69">
        <f t="shared" si="26"/>
        <v>1.3464043779748346E-2</v>
      </c>
      <c r="E48" s="69">
        <f t="shared" si="26"/>
        <v>1.8864946761499937E-2</v>
      </c>
      <c r="F48" s="69">
        <f t="shared" si="26"/>
        <v>2.1815002148332967E-2</v>
      </c>
      <c r="G48" s="69">
        <f t="shared" si="26"/>
        <v>2.0131220832389191E-2</v>
      </c>
      <c r="H48" s="69">
        <f t="shared" si="26"/>
        <v>1.5971557535513697E-2</v>
      </c>
      <c r="I48" s="104">
        <v>1.5129287598944592E-2</v>
      </c>
      <c r="J48" s="96">
        <v>1.3560509554140128E-2</v>
      </c>
      <c r="K48" s="96">
        <v>1.2924731182795699E-2</v>
      </c>
      <c r="L48" s="96">
        <v>1.2418831168831169E-2</v>
      </c>
      <c r="M48" s="96">
        <v>1.5279878971255673E-2</v>
      </c>
      <c r="N48" s="96">
        <v>1.6299559471365639E-2</v>
      </c>
      <c r="O48" s="96">
        <v>1.6666666666666666E-2</v>
      </c>
      <c r="P48" s="96">
        <v>1.6896120150187734E-2</v>
      </c>
      <c r="Q48" s="96">
        <v>1.7109826589595374E-2</v>
      </c>
      <c r="R48" s="96">
        <v>1.5779283639883835E-2</v>
      </c>
    </row>
    <row r="49" spans="1:86" x14ac:dyDescent="0.25">
      <c r="A49" s="1"/>
      <c r="B49" s="1"/>
      <c r="C49" s="1"/>
      <c r="D49" s="1"/>
      <c r="E49" s="1"/>
      <c r="G49" s="1"/>
      <c r="H49" s="1"/>
      <c r="I49" s="78"/>
      <c r="J49" s="97"/>
      <c r="K49" s="97"/>
      <c r="L49" s="97"/>
      <c r="M49" s="97"/>
      <c r="N49" s="97"/>
      <c r="O49" s="97"/>
      <c r="P49" s="97"/>
      <c r="Q49" s="97"/>
      <c r="R49" s="97"/>
    </row>
    <row r="50" spans="1:86" x14ac:dyDescent="0.25">
      <c r="A50" s="1"/>
      <c r="B50" s="1" t="s">
        <v>23</v>
      </c>
      <c r="C50" s="12">
        <f>'Raw CF'!M28</f>
        <v>-21382</v>
      </c>
      <c r="D50" s="12">
        <f>'Raw CF'!N28</f>
        <v>-38608</v>
      </c>
      <c r="E50" s="12">
        <f>'Raw CF'!O28</f>
        <v>-72562</v>
      </c>
      <c r="F50" s="21">
        <f>'Raw CF'!D29</f>
        <v>-126790</v>
      </c>
      <c r="G50" s="21">
        <f>'Raw CF'!E29</f>
        <v>-149251</v>
      </c>
      <c r="H50" s="21">
        <f>'Raw CF'!F29</f>
        <v>-169341</v>
      </c>
      <c r="I50" s="75">
        <f>I51*I11</f>
        <v>-150400</v>
      </c>
      <c r="J50" s="95">
        <f t="shared" ref="J50:R50" si="27">J51*J11</f>
        <v>-144670</v>
      </c>
      <c r="K50" s="95">
        <f t="shared" si="27"/>
        <v>-147660</v>
      </c>
      <c r="L50" s="95">
        <f t="shared" si="27"/>
        <v>-161590</v>
      </c>
      <c r="M50" s="95">
        <f t="shared" si="27"/>
        <v>-169660</v>
      </c>
      <c r="N50" s="95">
        <f t="shared" si="27"/>
        <v>-192980.00000000003</v>
      </c>
      <c r="O50" s="95">
        <f t="shared" si="27"/>
        <v>-205940.00000000003</v>
      </c>
      <c r="P50" s="95">
        <f t="shared" si="27"/>
        <v>-220140.00000000003</v>
      </c>
      <c r="Q50" s="95">
        <f t="shared" si="27"/>
        <v>-281310.00000000006</v>
      </c>
      <c r="R50" s="95">
        <f t="shared" si="27"/>
        <v>-301220.00000000006</v>
      </c>
    </row>
    <row r="51" spans="1:86" x14ac:dyDescent="0.25">
      <c r="A51" s="1"/>
      <c r="B51" s="68" t="s">
        <v>18</v>
      </c>
      <c r="C51" s="69">
        <f t="shared" ref="C51:R51" si="28">C50/C11</f>
        <v>-3.5223088897857656E-2</v>
      </c>
      <c r="D51" s="69">
        <f t="shared" si="28"/>
        <v>-4.1193422794874722E-2</v>
      </c>
      <c r="E51" s="69">
        <f t="shared" si="28"/>
        <v>-5.0897128347572353E-2</v>
      </c>
      <c r="F51" s="69">
        <f t="shared" si="28"/>
        <v>-8.688584916715264E-2</v>
      </c>
      <c r="G51" s="69">
        <f t="shared" si="28"/>
        <v>-7.5998604792080926E-2</v>
      </c>
      <c r="H51" s="69">
        <f t="shared" si="28"/>
        <v>-5.4445597967256315E-2</v>
      </c>
      <c r="I51" s="104">
        <v>-3.9683377308707121E-2</v>
      </c>
      <c r="J51" s="96">
        <v>-3.0715498938428874E-2</v>
      </c>
      <c r="K51" s="96">
        <v>-2.6462365591397849E-2</v>
      </c>
      <c r="L51" s="96">
        <v>-2.6232142857142857E-2</v>
      </c>
      <c r="M51" s="96">
        <v>-2.5667170953101361E-2</v>
      </c>
      <c r="N51" s="96">
        <v>-2.8337738619676946E-2</v>
      </c>
      <c r="O51" s="96">
        <v>-2.7905149051490514E-2</v>
      </c>
      <c r="P51" s="96">
        <v>-2.7551939924906132E-2</v>
      </c>
      <c r="Q51" s="96">
        <v>-3.2521387283236995E-2</v>
      </c>
      <c r="R51" s="96">
        <v>-2.9159728944820908E-2</v>
      </c>
    </row>
    <row r="52" spans="1:86" x14ac:dyDescent="0.25">
      <c r="A52" s="1"/>
      <c r="B52" s="1"/>
      <c r="C52" s="1"/>
      <c r="D52" s="1"/>
      <c r="E52" s="1"/>
      <c r="G52" s="1"/>
      <c r="H52" s="1"/>
      <c r="I52" s="78"/>
      <c r="J52" s="97"/>
      <c r="K52" s="97"/>
      <c r="L52" s="97"/>
      <c r="M52" s="97"/>
      <c r="N52" s="97"/>
      <c r="O52" s="97"/>
      <c r="P52" s="97"/>
      <c r="Q52" s="97"/>
      <c r="R52" s="97"/>
    </row>
    <row r="53" spans="1:86" x14ac:dyDescent="0.25">
      <c r="A53" s="1"/>
      <c r="B53" s="1" t="s">
        <v>24</v>
      </c>
      <c r="C53" s="21">
        <f>SUM('Raw CF'!M14:M22)</f>
        <v>32162</v>
      </c>
      <c r="D53" s="21">
        <f>SUM('Raw CF'!N14:N22)</f>
        <v>23096</v>
      </c>
      <c r="E53" s="21">
        <f>SUM('Raw CF'!O14:O22)</f>
        <v>26758</v>
      </c>
      <c r="F53" s="2">
        <f>SUM('Raw CF'!D18:D25)</f>
        <v>-22285</v>
      </c>
      <c r="G53" s="2">
        <f>SUM('Raw CF'!E18:E25)</f>
        <v>-118186</v>
      </c>
      <c r="H53" s="2">
        <f>SUM('Raw CF'!F18:F25)</f>
        <v>-379706</v>
      </c>
      <c r="I53" s="75">
        <f t="shared" ref="I53:R53" si="29">I54*I11</f>
        <v>-56850</v>
      </c>
      <c r="J53" s="95">
        <f t="shared" si="29"/>
        <v>-70650</v>
      </c>
      <c r="K53" s="95">
        <f t="shared" si="29"/>
        <v>-83700</v>
      </c>
      <c r="L53" s="95">
        <f t="shared" si="29"/>
        <v>-92400</v>
      </c>
      <c r="M53" s="95">
        <f t="shared" si="29"/>
        <v>-99150</v>
      </c>
      <c r="N53" s="95">
        <f t="shared" si="29"/>
        <v>-102150.00000000001</v>
      </c>
      <c r="O53" s="95">
        <f t="shared" si="29"/>
        <v>-110700.00000000001</v>
      </c>
      <c r="P53" s="95">
        <f t="shared" si="29"/>
        <v>-119850.00000000001</v>
      </c>
      <c r="Q53" s="95">
        <f t="shared" si="29"/>
        <v>-129750.00000000003</v>
      </c>
      <c r="R53" s="95">
        <f t="shared" si="29"/>
        <v>-154950.00000000003</v>
      </c>
    </row>
    <row r="54" spans="1:86" x14ac:dyDescent="0.25">
      <c r="A54" s="1"/>
      <c r="B54" s="68" t="s">
        <v>18</v>
      </c>
      <c r="C54" s="69">
        <f t="shared" ref="C54:H54" si="30">C53/C11</f>
        <v>5.2981245212463654E-2</v>
      </c>
      <c r="D54" s="69">
        <f t="shared" si="30"/>
        <v>2.4642646417074868E-2</v>
      </c>
      <c r="E54" s="69">
        <f t="shared" si="30"/>
        <v>1.8768850918171234E-2</v>
      </c>
      <c r="F54" s="69">
        <f t="shared" si="30"/>
        <v>-1.5271323832242263E-2</v>
      </c>
      <c r="G54" s="69">
        <f t="shared" si="30"/>
        <v>-6.018030770954215E-2</v>
      </c>
      <c r="H54" s="69">
        <f t="shared" si="30"/>
        <v>-0.12208100945284973</v>
      </c>
      <c r="I54" s="88">
        <v>-1.4999999999999999E-2</v>
      </c>
      <c r="J54" s="103">
        <v>-1.4999999999999999E-2</v>
      </c>
      <c r="K54" s="103">
        <v>-1.4999999999999999E-2</v>
      </c>
      <c r="L54" s="103">
        <v>-1.4999999999999999E-2</v>
      </c>
      <c r="M54" s="103">
        <v>-1.4999999999999999E-2</v>
      </c>
      <c r="N54" s="103">
        <v>-1.4999999999999999E-2</v>
      </c>
      <c r="O54" s="103">
        <v>-1.4999999999999999E-2</v>
      </c>
      <c r="P54" s="103">
        <v>-1.4999999999999999E-2</v>
      </c>
      <c r="Q54" s="103">
        <v>-1.4999999999999999E-2</v>
      </c>
      <c r="R54" s="103">
        <v>-1.4999999999999999E-2</v>
      </c>
    </row>
    <row r="55" spans="1:86" x14ac:dyDescent="0.25">
      <c r="A55" s="1"/>
      <c r="B55" s="1"/>
      <c r="C55" s="1"/>
      <c r="D55" s="1"/>
      <c r="E55" s="1"/>
      <c r="F55" s="1"/>
      <c r="G55" s="1"/>
      <c r="H55" s="1"/>
      <c r="I55" s="78"/>
      <c r="J55" s="97"/>
      <c r="K55" s="97"/>
      <c r="L55" s="97"/>
      <c r="M55" s="97"/>
      <c r="N55" s="97"/>
      <c r="O55" s="97"/>
      <c r="P55" s="97"/>
      <c r="Q55" s="97"/>
      <c r="R55" s="97"/>
    </row>
    <row r="56" spans="1:86" x14ac:dyDescent="0.25">
      <c r="A56" s="1"/>
      <c r="B56" s="10" t="s">
        <v>25</v>
      </c>
      <c r="C56" s="12">
        <f t="shared" ref="C56:H56" si="31">C40-C43</f>
        <v>75014</v>
      </c>
      <c r="D56" s="12">
        <f t="shared" si="31"/>
        <v>130343</v>
      </c>
      <c r="E56" s="12">
        <f t="shared" si="31"/>
        <v>156300</v>
      </c>
      <c r="F56" s="12">
        <f t="shared" si="31"/>
        <v>119217</v>
      </c>
      <c r="G56" s="12">
        <f t="shared" si="31"/>
        <v>189085</v>
      </c>
      <c r="H56" s="12">
        <f t="shared" si="31"/>
        <v>82744</v>
      </c>
      <c r="I56" s="81">
        <f t="shared" ref="I56:R56" si="32">I40-I43</f>
        <v>386090</v>
      </c>
      <c r="J56" s="99">
        <f t="shared" si="32"/>
        <v>529440</v>
      </c>
      <c r="K56" s="99">
        <f t="shared" si="32"/>
        <v>687490</v>
      </c>
      <c r="L56" s="99">
        <f t="shared" si="32"/>
        <v>724240</v>
      </c>
      <c r="M56" s="99">
        <f t="shared" si="32"/>
        <v>824390.00000000023</v>
      </c>
      <c r="N56" s="99">
        <f t="shared" si="32"/>
        <v>813080.00000000035</v>
      </c>
      <c r="O56" s="99">
        <f t="shared" si="32"/>
        <v>897470.00000000035</v>
      </c>
      <c r="P56" s="99">
        <f t="shared" si="32"/>
        <v>988040.00000000035</v>
      </c>
      <c r="Q56" s="99">
        <f t="shared" si="32"/>
        <v>1095400.0000000002</v>
      </c>
      <c r="R56" s="99">
        <f t="shared" si="32"/>
        <v>1178680.0000000005</v>
      </c>
    </row>
    <row r="57" spans="1:86" x14ac:dyDescent="0.25">
      <c r="A57" s="1"/>
      <c r="B57" s="10" t="s">
        <v>56</v>
      </c>
      <c r="C57" s="12">
        <v>0</v>
      </c>
      <c r="D57" s="12">
        <f>'Raw IS'!M27</f>
        <v>787</v>
      </c>
      <c r="E57" s="12">
        <f>'Raw IS'!N27</f>
        <v>1592</v>
      </c>
      <c r="F57" s="12">
        <v>0</v>
      </c>
      <c r="G57" s="12">
        <v>0</v>
      </c>
      <c r="H57" s="12">
        <v>0</v>
      </c>
      <c r="I57" s="81">
        <v>0</v>
      </c>
      <c r="J57" s="99">
        <v>0</v>
      </c>
      <c r="K57" s="99">
        <v>0</v>
      </c>
      <c r="L57" s="99">
        <v>0</v>
      </c>
      <c r="M57" s="99">
        <v>0</v>
      </c>
      <c r="N57" s="99">
        <v>0</v>
      </c>
      <c r="O57" s="99">
        <v>0</v>
      </c>
      <c r="P57" s="99">
        <v>0</v>
      </c>
      <c r="Q57" s="99">
        <v>0</v>
      </c>
      <c r="R57" s="99">
        <v>0</v>
      </c>
    </row>
    <row r="58" spans="1:86" x14ac:dyDescent="0.25">
      <c r="A58" s="1"/>
      <c r="B58" s="10" t="s">
        <v>26</v>
      </c>
      <c r="C58" s="12">
        <f t="shared" ref="C58:I58" si="33">C38-C43+C57</f>
        <v>84172</v>
      </c>
      <c r="D58" s="12">
        <f t="shared" si="33"/>
        <v>128833</v>
      </c>
      <c r="E58" s="12">
        <f t="shared" si="33"/>
        <v>146549</v>
      </c>
      <c r="F58" s="12">
        <f t="shared" si="33"/>
        <v>140322</v>
      </c>
      <c r="G58" s="12">
        <f t="shared" si="33"/>
        <v>169170</v>
      </c>
      <c r="H58" s="12">
        <f t="shared" si="33"/>
        <v>93779</v>
      </c>
      <c r="I58" s="81">
        <f t="shared" si="33"/>
        <v>401250</v>
      </c>
      <c r="J58" s="99">
        <f t="shared" ref="J58:R58" si="34">J38-J43+J57</f>
        <v>548280</v>
      </c>
      <c r="K58" s="99">
        <f t="shared" si="34"/>
        <v>709810</v>
      </c>
      <c r="L58" s="99">
        <f t="shared" si="34"/>
        <v>748880</v>
      </c>
      <c r="M58" s="99">
        <f t="shared" si="34"/>
        <v>850830.00000000023</v>
      </c>
      <c r="N58" s="99">
        <f t="shared" si="34"/>
        <v>840320.00000000035</v>
      </c>
      <c r="O58" s="99">
        <f t="shared" si="34"/>
        <v>926990.00000000035</v>
      </c>
      <c r="P58" s="99">
        <f t="shared" si="34"/>
        <v>1020000.0000000003</v>
      </c>
      <c r="Q58" s="99">
        <f t="shared" si="34"/>
        <v>1130000.0000000002</v>
      </c>
      <c r="R58" s="99">
        <f t="shared" si="34"/>
        <v>1220000.0000000005</v>
      </c>
      <c r="S58" s="54">
        <f>R58*(1+$E$6)</f>
        <v>1268800.0000000005</v>
      </c>
      <c r="T58" s="54">
        <f t="shared" ref="T58:CE58" si="35">S58*(1+$E$6)</f>
        <v>1319552.0000000005</v>
      </c>
      <c r="U58" s="54">
        <f t="shared" si="35"/>
        <v>1372334.0800000005</v>
      </c>
      <c r="V58" s="54">
        <f t="shared" si="35"/>
        <v>1427227.4432000006</v>
      </c>
      <c r="W58" s="54">
        <f t="shared" si="35"/>
        <v>1484316.5409280006</v>
      </c>
      <c r="X58" s="54">
        <f t="shared" si="35"/>
        <v>1543689.2025651208</v>
      </c>
      <c r="Y58" s="54">
        <f t="shared" si="35"/>
        <v>1605436.7706677257</v>
      </c>
      <c r="Z58" s="54">
        <f t="shared" si="35"/>
        <v>1669654.2414944349</v>
      </c>
      <c r="AA58" s="54">
        <f t="shared" si="35"/>
        <v>1736440.4111542124</v>
      </c>
      <c r="AB58" s="54">
        <f t="shared" si="35"/>
        <v>1805898.0276003811</v>
      </c>
      <c r="AC58" s="54">
        <f t="shared" si="35"/>
        <v>1878133.9487043964</v>
      </c>
      <c r="AD58" s="54">
        <f t="shared" si="35"/>
        <v>1953259.3066525722</v>
      </c>
      <c r="AE58" s="54">
        <f t="shared" si="35"/>
        <v>2031389.6789186753</v>
      </c>
      <c r="AF58" s="54">
        <f t="shared" si="35"/>
        <v>2112645.2660754225</v>
      </c>
      <c r="AG58" s="54">
        <f t="shared" si="35"/>
        <v>2197151.0767184393</v>
      </c>
      <c r="AH58" s="54">
        <f t="shared" si="35"/>
        <v>2285037.1197871771</v>
      </c>
      <c r="AI58" s="54">
        <f t="shared" si="35"/>
        <v>2376438.6045786641</v>
      </c>
      <c r="AJ58" s="54">
        <f t="shared" si="35"/>
        <v>2471496.1487618107</v>
      </c>
      <c r="AK58" s="54">
        <f t="shared" si="35"/>
        <v>2570355.9947122834</v>
      </c>
      <c r="AL58" s="54">
        <f t="shared" si="35"/>
        <v>2673170.2345007746</v>
      </c>
      <c r="AM58" s="54">
        <f t="shared" si="35"/>
        <v>2780097.0438808058</v>
      </c>
      <c r="AN58" s="54">
        <f t="shared" si="35"/>
        <v>2891300.9256360382</v>
      </c>
      <c r="AO58" s="54">
        <f t="shared" si="35"/>
        <v>3006952.9626614796</v>
      </c>
      <c r="AP58" s="54">
        <f t="shared" si="35"/>
        <v>3127231.0811679391</v>
      </c>
      <c r="AQ58" s="54">
        <f t="shared" si="35"/>
        <v>3252320.324414657</v>
      </c>
      <c r="AR58" s="54">
        <f t="shared" si="35"/>
        <v>3382413.1373912431</v>
      </c>
      <c r="AS58" s="54">
        <f t="shared" si="35"/>
        <v>3517709.6628868929</v>
      </c>
      <c r="AT58" s="54">
        <f t="shared" si="35"/>
        <v>3658418.0494023687</v>
      </c>
      <c r="AU58" s="54">
        <f t="shared" si="35"/>
        <v>3804754.7713784636</v>
      </c>
      <c r="AV58" s="54">
        <f t="shared" si="35"/>
        <v>3956944.9622336021</v>
      </c>
      <c r="AW58" s="54">
        <f t="shared" si="35"/>
        <v>4115222.7607229464</v>
      </c>
      <c r="AX58" s="54">
        <f t="shared" si="35"/>
        <v>4279831.6711518643</v>
      </c>
      <c r="AY58" s="54">
        <f t="shared" si="35"/>
        <v>4451024.9379979391</v>
      </c>
      <c r="AZ58" s="54">
        <f t="shared" si="35"/>
        <v>4629065.9355178569</v>
      </c>
      <c r="BA58" s="54">
        <f t="shared" si="35"/>
        <v>4814228.5729385717</v>
      </c>
      <c r="BB58" s="54">
        <f t="shared" si="35"/>
        <v>5006797.7158561144</v>
      </c>
      <c r="BC58" s="54">
        <f t="shared" si="35"/>
        <v>5207069.6244903589</v>
      </c>
      <c r="BD58" s="54">
        <f t="shared" si="35"/>
        <v>5415352.4094699733</v>
      </c>
      <c r="BE58" s="54">
        <f t="shared" si="35"/>
        <v>5631966.5058487728</v>
      </c>
      <c r="BF58" s="54">
        <f t="shared" si="35"/>
        <v>5857245.166082724</v>
      </c>
      <c r="BG58" s="54">
        <f t="shared" si="35"/>
        <v>6091534.9727260331</v>
      </c>
      <c r="BH58" s="54">
        <f t="shared" si="35"/>
        <v>6335196.3716350747</v>
      </c>
      <c r="BI58" s="54">
        <f t="shared" si="35"/>
        <v>6588604.2265004776</v>
      </c>
      <c r="BJ58" s="54">
        <f t="shared" si="35"/>
        <v>6852148.3955604974</v>
      </c>
      <c r="BK58" s="54">
        <f t="shared" si="35"/>
        <v>7126234.3313829172</v>
      </c>
      <c r="BL58" s="54">
        <f t="shared" si="35"/>
        <v>7411283.7046382343</v>
      </c>
      <c r="BM58" s="54">
        <f t="shared" si="35"/>
        <v>7707735.0528237643</v>
      </c>
      <c r="BN58" s="54">
        <f t="shared" si="35"/>
        <v>8016044.4549367148</v>
      </c>
      <c r="BO58" s="54">
        <f t="shared" si="35"/>
        <v>8336686.233134184</v>
      </c>
      <c r="BP58" s="54">
        <f t="shared" si="35"/>
        <v>8670153.6824595518</v>
      </c>
      <c r="BQ58" s="54">
        <f t="shared" si="35"/>
        <v>9016959.8297579344</v>
      </c>
      <c r="BR58" s="54">
        <f t="shared" si="35"/>
        <v>9377638.2229482513</v>
      </c>
      <c r="BS58" s="54">
        <f t="shared" si="35"/>
        <v>9752743.7518661823</v>
      </c>
      <c r="BT58" s="54">
        <f t="shared" si="35"/>
        <v>10142853.50194083</v>
      </c>
      <c r="BU58" s="54">
        <f t="shared" si="35"/>
        <v>10548567.642018463</v>
      </c>
      <c r="BV58" s="54">
        <f t="shared" si="35"/>
        <v>10970510.347699203</v>
      </c>
      <c r="BW58" s="54">
        <f t="shared" si="35"/>
        <v>11409330.761607172</v>
      </c>
      <c r="BX58" s="54">
        <f t="shared" si="35"/>
        <v>11865703.992071459</v>
      </c>
      <c r="BY58" s="54">
        <f t="shared" si="35"/>
        <v>12340332.151754318</v>
      </c>
      <c r="BZ58" s="54">
        <f t="shared" si="35"/>
        <v>12833945.437824491</v>
      </c>
      <c r="CA58" s="54">
        <f t="shared" si="35"/>
        <v>13347303.255337471</v>
      </c>
      <c r="CB58" s="54">
        <f t="shared" si="35"/>
        <v>13881195.38555097</v>
      </c>
      <c r="CC58" s="54">
        <f t="shared" si="35"/>
        <v>14436443.20097301</v>
      </c>
      <c r="CD58" s="54">
        <f t="shared" si="35"/>
        <v>15013900.92901193</v>
      </c>
      <c r="CE58" s="54">
        <f t="shared" si="35"/>
        <v>15614456.966172408</v>
      </c>
      <c r="CF58" s="54">
        <f>CE58*(1+$E$6)</f>
        <v>16239035.244819306</v>
      </c>
      <c r="CG58" s="54">
        <f>CF58*(1+$E$6)</f>
        <v>16888596.654612079</v>
      </c>
      <c r="CH58" s="54">
        <f>CG58*(1+$E$6)</f>
        <v>17564140.520796563</v>
      </c>
    </row>
    <row r="59" spans="1:86" x14ac:dyDescent="0.25">
      <c r="A59" s="1"/>
      <c r="B59" s="6"/>
      <c r="C59" s="20"/>
      <c r="D59" s="20"/>
      <c r="E59" s="20"/>
      <c r="F59" s="20"/>
      <c r="G59" s="20"/>
      <c r="H59" s="20"/>
      <c r="I59" s="78"/>
      <c r="J59" s="97"/>
      <c r="K59" s="97"/>
      <c r="L59" s="97"/>
      <c r="M59" s="97"/>
      <c r="N59" s="97"/>
      <c r="O59" s="97"/>
      <c r="P59" s="97"/>
      <c r="Q59" s="97"/>
      <c r="R59" s="97"/>
    </row>
    <row r="60" spans="1:86" x14ac:dyDescent="0.25">
      <c r="A60" s="1"/>
      <c r="B60" s="10" t="s">
        <v>27</v>
      </c>
      <c r="C60" s="12">
        <f>C56+C47+C50-C53</f>
        <v>28625</v>
      </c>
      <c r="D60" s="12">
        <f t="shared" ref="D60:R60" si="36">D56+D47+D50-D53</f>
        <v>81258</v>
      </c>
      <c r="E60" s="12">
        <f t="shared" si="36"/>
        <v>83875</v>
      </c>
      <c r="F60" s="12">
        <f t="shared" si="36"/>
        <v>46546</v>
      </c>
      <c r="G60" s="12">
        <f t="shared" si="36"/>
        <v>197555</v>
      </c>
      <c r="H60" s="12">
        <f t="shared" si="36"/>
        <v>342785</v>
      </c>
      <c r="I60" s="81">
        <f t="shared" si="36"/>
        <v>349880</v>
      </c>
      <c r="J60" s="99">
        <f t="shared" si="36"/>
        <v>519290</v>
      </c>
      <c r="K60" s="99">
        <f t="shared" si="36"/>
        <v>695650</v>
      </c>
      <c r="L60" s="99">
        <f t="shared" si="36"/>
        <v>731550</v>
      </c>
      <c r="M60" s="99">
        <f t="shared" si="36"/>
        <v>854880.00000000023</v>
      </c>
      <c r="N60" s="99">
        <f t="shared" si="36"/>
        <v>833250.00000000035</v>
      </c>
      <c r="O60" s="99">
        <f t="shared" si="36"/>
        <v>925230.00000000035</v>
      </c>
      <c r="P60" s="99">
        <f t="shared" si="36"/>
        <v>1022750.0000000005</v>
      </c>
      <c r="Q60" s="99">
        <f t="shared" si="36"/>
        <v>1091840.0000000002</v>
      </c>
      <c r="R60" s="99">
        <f t="shared" si="36"/>
        <v>1195410.0000000005</v>
      </c>
    </row>
    <row r="61" spans="1:86" x14ac:dyDescent="0.25">
      <c r="A61" s="1"/>
      <c r="B61" s="22" t="s">
        <v>28</v>
      </c>
      <c r="C61" s="1"/>
      <c r="D61" s="1"/>
      <c r="E61" s="1"/>
      <c r="F61" s="1"/>
      <c r="G61" s="1"/>
      <c r="H61" s="1"/>
      <c r="I61" s="56">
        <f t="shared" ref="I61:R61" si="37">I60/((1+$E$5)^I9)</f>
        <v>314365.2116505712</v>
      </c>
      <c r="J61" s="55">
        <f t="shared" si="37"/>
        <v>419218.73563877557</v>
      </c>
      <c r="K61" s="55">
        <f t="shared" si="37"/>
        <v>504587.95121700602</v>
      </c>
      <c r="L61" s="55">
        <f t="shared" si="37"/>
        <v>476766.20500937535</v>
      </c>
      <c r="M61" s="55">
        <f t="shared" si="37"/>
        <v>500589.76723290491</v>
      </c>
      <c r="N61" s="55">
        <f t="shared" si="37"/>
        <v>438396.92114655604</v>
      </c>
      <c r="O61" s="55">
        <f t="shared" si="37"/>
        <v>437378.30917834176</v>
      </c>
      <c r="P61" s="55">
        <f t="shared" si="37"/>
        <v>434402.56970456912</v>
      </c>
      <c r="Q61" s="55">
        <f t="shared" si="37"/>
        <v>416674.82384181395</v>
      </c>
      <c r="R61" s="55">
        <f t="shared" si="37"/>
        <v>409893.00445797411</v>
      </c>
    </row>
    <row r="62" spans="1:86" x14ac:dyDescent="0.25">
      <c r="A62" s="1"/>
      <c r="B62" s="23"/>
      <c r="C62" s="23"/>
      <c r="D62" s="23"/>
      <c r="E62" s="23"/>
      <c r="F62" s="23"/>
      <c r="G62" s="23"/>
      <c r="H62" s="23"/>
      <c r="I62" s="16"/>
      <c r="J62" s="1"/>
      <c r="K62" s="1"/>
      <c r="L62" s="1"/>
      <c r="M62" s="1"/>
      <c r="N62" s="1"/>
      <c r="O62" s="1"/>
      <c r="P62" s="1"/>
      <c r="Q62" s="1"/>
      <c r="R62" s="1"/>
    </row>
    <row r="63" spans="1:86" x14ac:dyDescent="0.25">
      <c r="A63" s="1"/>
      <c r="B63" s="1" t="s">
        <v>29</v>
      </c>
      <c r="C63" s="24">
        <f>(R60*(1+$E$6))/($E$5-$E$6)</f>
        <v>17036794.495595355</v>
      </c>
      <c r="D63" s="1"/>
      <c r="E63" s="1" t="s">
        <v>30</v>
      </c>
      <c r="F63" s="19">
        <f>NPV($E$5,I58:CH58)</f>
        <v>10370050.153381644</v>
      </c>
      <c r="G63" s="1"/>
      <c r="H63" s="1"/>
      <c r="I63" s="16"/>
      <c r="J63" s="1"/>
      <c r="K63" s="1"/>
      <c r="L63" s="1"/>
      <c r="M63" s="1"/>
      <c r="N63" s="1"/>
      <c r="O63" s="1"/>
      <c r="P63" s="1"/>
      <c r="Q63" s="1"/>
    </row>
    <row r="64" spans="1:86" x14ac:dyDescent="0.25">
      <c r="A64" s="1"/>
      <c r="B64" s="3" t="s">
        <v>31</v>
      </c>
      <c r="C64" s="25">
        <f>C63/((1+$E$5)^$R$9)</f>
        <v>5841730.3537134985</v>
      </c>
      <c r="D64" s="17"/>
      <c r="E64" s="3"/>
      <c r="F64" s="3"/>
      <c r="G64" s="3"/>
      <c r="H64" s="17"/>
      <c r="I64" s="13"/>
      <c r="J64" s="1"/>
      <c r="L64" s="48" t="s">
        <v>52</v>
      </c>
      <c r="M64" s="49"/>
      <c r="N64" s="49"/>
      <c r="O64" s="49"/>
      <c r="P64" s="49"/>
      <c r="Q64" s="48"/>
    </row>
    <row r="65" spans="1:17" x14ac:dyDescent="0.25">
      <c r="A65" s="1"/>
      <c r="B65" s="6" t="s">
        <v>32</v>
      </c>
      <c r="C65" s="6"/>
      <c r="D65" s="1"/>
      <c r="E65" s="6"/>
      <c r="F65" s="6"/>
      <c r="G65" s="26" t="s">
        <v>33</v>
      </c>
      <c r="H65" s="26" t="s">
        <v>30</v>
      </c>
      <c r="I65" s="16"/>
      <c r="J65" s="1"/>
      <c r="K65" s="48"/>
      <c r="L65" s="110">
        <f>D71</f>
        <v>183.47446109643084</v>
      </c>
      <c r="M65" s="106">
        <v>-0.01</v>
      </c>
      <c r="N65" s="106">
        <v>0.03</v>
      </c>
      <c r="O65" s="106">
        <v>0.04</v>
      </c>
      <c r="P65" s="106">
        <v>0.05</v>
      </c>
      <c r="Q65" s="106">
        <v>0.06</v>
      </c>
    </row>
    <row r="66" spans="1:17" x14ac:dyDescent="0.25">
      <c r="A66" s="1"/>
      <c r="B66" s="27" t="s">
        <v>34</v>
      </c>
      <c r="C66" s="1"/>
      <c r="D66" s="34">
        <v>557744</v>
      </c>
      <c r="E66" s="1"/>
      <c r="F66" s="1"/>
      <c r="G66" s="24">
        <f>C64+SUM(I61:R61)</f>
        <v>10194003.852791386</v>
      </c>
      <c r="H66" s="19">
        <f>F63</f>
        <v>10370050.153381644</v>
      </c>
      <c r="I66" s="16"/>
      <c r="J66" s="1"/>
      <c r="K66" s="48"/>
      <c r="L66" s="50">
        <f>L67-1%</f>
        <v>9.2973023201132168E-2</v>
      </c>
      <c r="M66" s="107">
        <f t="dataTable" ref="M66:Q70" dt2D="1" dtr="1" r1="E6" r2="E5"/>
        <v>172.28425419301226</v>
      </c>
      <c r="N66" s="107">
        <v>230.23334307075658</v>
      </c>
      <c r="O66" s="107">
        <v>257.30657574130862</v>
      </c>
      <c r="P66" s="107">
        <v>295.33765302535562</v>
      </c>
      <c r="Q66" s="107">
        <v>352.37556112571065</v>
      </c>
    </row>
    <row r="67" spans="1:17" x14ac:dyDescent="0.25">
      <c r="A67" s="1"/>
      <c r="B67" s="28" t="s">
        <v>35</v>
      </c>
      <c r="C67" s="3"/>
      <c r="D67" s="29">
        <f>897729-434602</f>
        <v>463127</v>
      </c>
      <c r="E67" s="3"/>
      <c r="F67" s="3"/>
      <c r="G67" s="3"/>
      <c r="H67" s="3"/>
      <c r="I67" s="16"/>
      <c r="J67" s="1"/>
      <c r="K67" s="49"/>
      <c r="L67" s="50">
        <f>L68-1%</f>
        <v>0.10297302320113216</v>
      </c>
      <c r="M67" s="107">
        <v>153.8472269526581</v>
      </c>
      <c r="N67" s="108">
        <v>196.21260929533514</v>
      </c>
      <c r="O67" s="108">
        <v>214.76350323104816</v>
      </c>
      <c r="P67" s="108">
        <v>239.66357502726174</v>
      </c>
      <c r="Q67" s="107">
        <v>274.62094634997493</v>
      </c>
    </row>
    <row r="68" spans="1:17" x14ac:dyDescent="0.25">
      <c r="A68" s="1"/>
      <c r="B68" s="6" t="s">
        <v>36</v>
      </c>
      <c r="C68" s="6"/>
      <c r="D68" s="6"/>
      <c r="E68" s="6"/>
      <c r="F68" s="6"/>
      <c r="G68" s="30">
        <f>(G66+D66-D67)</f>
        <v>10288620.852791386</v>
      </c>
      <c r="H68" s="31">
        <f>(H66+D66-D67)</f>
        <v>10464667.153381644</v>
      </c>
      <c r="I68" s="16"/>
      <c r="J68"/>
      <c r="K68" s="48" t="s">
        <v>1</v>
      </c>
      <c r="L68" s="52">
        <v>0.11297302320113216</v>
      </c>
      <c r="M68" s="107">
        <v>138.58165691126391</v>
      </c>
      <c r="N68" s="108">
        <v>170.30257957952904</v>
      </c>
      <c r="O68" s="109">
        <v>183.47446109643084</v>
      </c>
      <c r="P68" s="108">
        <v>200.55727648995762</v>
      </c>
      <c r="Q68" s="107">
        <v>223.47526614117862</v>
      </c>
    </row>
    <row r="69" spans="1:17" x14ac:dyDescent="0.25">
      <c r="A69" s="1"/>
      <c r="B69" s="3" t="s">
        <v>37</v>
      </c>
      <c r="C69" s="3"/>
      <c r="D69" s="34">
        <f>56556340/1000</f>
        <v>56556.34</v>
      </c>
      <c r="E69" s="3"/>
      <c r="F69" s="3"/>
      <c r="G69" s="3"/>
      <c r="H69" s="3"/>
      <c r="I69" s="16"/>
      <c r="J69" s="1"/>
      <c r="K69" s="48"/>
      <c r="L69" s="53">
        <f>L68+1%</f>
        <v>0.12297302320113215</v>
      </c>
      <c r="M69" s="107">
        <v>125.76436156695132</v>
      </c>
      <c r="N69" s="108">
        <v>149.99144380180655</v>
      </c>
      <c r="O69" s="108">
        <v>159.61400118305193</v>
      </c>
      <c r="P69" s="108">
        <v>171.75684504497175</v>
      </c>
      <c r="Q69" s="107">
        <v>187.49894432871417</v>
      </c>
    </row>
    <row r="70" spans="1:17" x14ac:dyDescent="0.25">
      <c r="A70" s="1"/>
      <c r="B70" s="18" t="s">
        <v>38</v>
      </c>
      <c r="C70" s="18"/>
      <c r="D70" s="18">
        <f>D69*$J$5</f>
        <v>10767196.009199999</v>
      </c>
      <c r="E70" s="18"/>
      <c r="F70" s="18"/>
      <c r="G70" s="18"/>
      <c r="H70" s="32"/>
      <c r="I70" s="1"/>
      <c r="J70" s="1"/>
      <c r="K70" s="48"/>
      <c r="L70" s="53">
        <f>L69+1%</f>
        <v>0.13297302320113216</v>
      </c>
      <c r="M70" s="107">
        <v>114.87300627110386</v>
      </c>
      <c r="N70" s="107">
        <v>133.6896419224658</v>
      </c>
      <c r="O70" s="107">
        <v>140.88608319536104</v>
      </c>
      <c r="P70" s="107">
        <v>149.76563441138111</v>
      </c>
      <c r="Q70" s="107">
        <v>160.9676509247264</v>
      </c>
    </row>
    <row r="71" spans="1:17" x14ac:dyDescent="0.25">
      <c r="A71" s="1"/>
      <c r="B71" s="6" t="s">
        <v>39</v>
      </c>
      <c r="C71" s="6" t="s">
        <v>40</v>
      </c>
      <c r="D71" s="33">
        <f>(G71+H71)/2</f>
        <v>183.47446109643084</v>
      </c>
      <c r="F71" s="6"/>
      <c r="G71" s="33">
        <f>G68/D69</f>
        <v>181.91808120524394</v>
      </c>
      <c r="H71" s="33">
        <f>H68/D69</f>
        <v>185.03084098761772</v>
      </c>
      <c r="I71" s="16"/>
      <c r="J71" s="1"/>
    </row>
    <row r="72" spans="1:17" x14ac:dyDescent="0.25">
      <c r="A72"/>
      <c r="C72" s="1"/>
      <c r="D72" s="1"/>
    </row>
  </sheetData>
  <sortState xmlns:xlrd2="http://schemas.microsoft.com/office/spreadsheetml/2017/richdata2" columnSort="1" ref="C10:H61">
    <sortCondition ref="C10:H1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ED251-847D-49EB-A1B7-0EBCA935B3CF}">
  <dimension ref="A1:O37"/>
  <sheetViews>
    <sheetView topLeftCell="A13" workbookViewId="0">
      <selection activeCell="K23" sqref="K23"/>
    </sheetView>
  </sheetViews>
  <sheetFormatPr defaultRowHeight="15" x14ac:dyDescent="0.25"/>
  <cols>
    <col min="1" max="1" width="38.7109375" customWidth="1"/>
  </cols>
  <sheetData>
    <row r="1" spans="1:15" x14ac:dyDescent="0.25">
      <c r="A1" s="89" t="s">
        <v>70</v>
      </c>
      <c r="B1" s="89"/>
      <c r="C1" s="89"/>
      <c r="D1" s="89"/>
      <c r="E1" s="89"/>
      <c r="F1" s="89"/>
      <c r="G1" s="89"/>
      <c r="H1" s="89"/>
      <c r="I1" s="89"/>
      <c r="J1" s="89"/>
      <c r="L1" t="s">
        <v>128</v>
      </c>
      <c r="M1" t="s">
        <v>127</v>
      </c>
      <c r="N1" s="89" t="s">
        <v>126</v>
      </c>
      <c r="O1" s="89"/>
    </row>
    <row r="2" spans="1:15" x14ac:dyDescent="0.25">
      <c r="A2" s="89"/>
      <c r="B2" s="89"/>
      <c r="C2" s="89"/>
      <c r="D2" s="89"/>
      <c r="E2" s="89"/>
      <c r="F2" s="89"/>
      <c r="G2" s="89"/>
      <c r="H2" s="89"/>
      <c r="I2" s="89"/>
      <c r="J2" s="89"/>
      <c r="N2" s="89"/>
      <c r="O2" s="89"/>
    </row>
    <row r="3" spans="1:15" x14ac:dyDescent="0.25">
      <c r="A3" s="89"/>
      <c r="B3" s="89"/>
      <c r="C3" s="89"/>
      <c r="D3" s="89" t="s">
        <v>71</v>
      </c>
      <c r="E3" s="89"/>
      <c r="F3" s="89"/>
      <c r="G3" s="89"/>
      <c r="H3" s="89"/>
      <c r="I3" s="89" t="s">
        <v>75</v>
      </c>
      <c r="J3" s="89"/>
      <c r="L3">
        <v>607045</v>
      </c>
      <c r="M3">
        <v>937237</v>
      </c>
      <c r="N3" s="89">
        <v>1425660</v>
      </c>
      <c r="O3" s="89"/>
    </row>
    <row r="4" spans="1:15" x14ac:dyDescent="0.25">
      <c r="A4" s="90"/>
      <c r="B4" s="90"/>
      <c r="C4" s="89"/>
      <c r="D4" s="89" t="s">
        <v>74</v>
      </c>
      <c r="E4" s="89" t="s">
        <v>73</v>
      </c>
      <c r="F4" s="90" t="s">
        <v>72</v>
      </c>
      <c r="G4" s="90"/>
      <c r="H4" s="90"/>
      <c r="I4" s="90" t="s">
        <v>129</v>
      </c>
      <c r="J4" s="89"/>
      <c r="K4" s="89"/>
      <c r="L4">
        <v>392279</v>
      </c>
      <c r="M4">
        <v>618001</v>
      </c>
      <c r="N4" s="89">
        <v>946322</v>
      </c>
    </row>
    <row r="5" spans="1:15" x14ac:dyDescent="0.25">
      <c r="A5" s="90" t="s">
        <v>75</v>
      </c>
      <c r="B5" s="89"/>
      <c r="C5" s="89"/>
      <c r="D5" s="89">
        <v>1459271</v>
      </c>
      <c r="E5" s="89">
        <v>1963865</v>
      </c>
      <c r="F5" s="89">
        <v>3110279</v>
      </c>
      <c r="G5" s="89"/>
      <c r="H5" s="90"/>
      <c r="I5" s="90"/>
      <c r="J5" s="89"/>
      <c r="K5" s="89"/>
      <c r="N5" s="89"/>
    </row>
    <row r="6" spans="1:15" x14ac:dyDescent="0.25">
      <c r="A6" s="89" t="s">
        <v>76</v>
      </c>
      <c r="B6" s="89"/>
      <c r="C6" s="89"/>
      <c r="D6" s="89">
        <v>997912</v>
      </c>
      <c r="E6" s="89">
        <v>1334547</v>
      </c>
      <c r="F6" s="89">
        <v>2265631</v>
      </c>
      <c r="G6" s="91"/>
      <c r="H6" s="89"/>
      <c r="I6" s="89" t="s">
        <v>62</v>
      </c>
      <c r="J6" s="89"/>
      <c r="K6" s="89"/>
      <c r="L6">
        <v>214766</v>
      </c>
      <c r="M6">
        <v>319236</v>
      </c>
      <c r="N6" s="89">
        <v>479338</v>
      </c>
    </row>
    <row r="7" spans="1:15" x14ac:dyDescent="0.25">
      <c r="A7" s="89" t="s">
        <v>77</v>
      </c>
      <c r="B7" s="89"/>
      <c r="C7" s="89"/>
      <c r="D7" s="89">
        <v>461359</v>
      </c>
      <c r="E7" s="89">
        <v>629318</v>
      </c>
      <c r="F7" s="89">
        <v>844648</v>
      </c>
      <c r="G7" s="92"/>
      <c r="H7" s="89"/>
      <c r="I7" s="89"/>
      <c r="J7" s="89"/>
      <c r="K7" s="89"/>
      <c r="N7" s="89"/>
    </row>
    <row r="8" spans="1:15" x14ac:dyDescent="0.25">
      <c r="A8" s="89" t="s">
        <v>78</v>
      </c>
      <c r="B8" s="89"/>
      <c r="C8" s="89"/>
      <c r="D8" s="89"/>
      <c r="E8" s="89"/>
      <c r="F8" s="89"/>
      <c r="G8" s="92"/>
      <c r="H8" s="89"/>
      <c r="I8" s="89" t="s">
        <v>63</v>
      </c>
      <c r="J8" s="89"/>
      <c r="K8" s="89"/>
      <c r="N8" s="89"/>
    </row>
    <row r="9" spans="1:15" x14ac:dyDescent="0.25">
      <c r="A9" s="89" t="s">
        <v>79</v>
      </c>
      <c r="B9" s="89"/>
      <c r="C9" s="89"/>
      <c r="D9" s="89">
        <v>163123</v>
      </c>
      <c r="E9" s="89">
        <v>219633</v>
      </c>
      <c r="F9" s="89">
        <v>289814</v>
      </c>
      <c r="G9" s="89"/>
      <c r="H9" s="89"/>
      <c r="I9" s="89"/>
      <c r="J9" s="89"/>
      <c r="K9" s="89"/>
      <c r="N9" s="89"/>
    </row>
    <row r="10" spans="1:15" x14ac:dyDescent="0.25">
      <c r="A10" s="89" t="s">
        <v>80</v>
      </c>
      <c r="B10" s="89"/>
      <c r="C10" s="89"/>
      <c r="D10" s="89">
        <v>95985</v>
      </c>
      <c r="E10" s="89">
        <v>119000</v>
      </c>
      <c r="F10" s="89">
        <v>159680</v>
      </c>
      <c r="G10" s="92"/>
      <c r="H10" s="89"/>
      <c r="I10" s="89" t="s">
        <v>64</v>
      </c>
      <c r="J10" s="89"/>
      <c r="K10" s="89"/>
      <c r="L10">
        <v>54966</v>
      </c>
      <c r="M10">
        <v>82245</v>
      </c>
      <c r="N10" s="89">
        <v>121351</v>
      </c>
    </row>
    <row r="11" spans="1:15" x14ac:dyDescent="0.25">
      <c r="A11" s="89" t="s">
        <v>81</v>
      </c>
      <c r="B11" s="89"/>
      <c r="C11" s="89"/>
      <c r="D11" s="89">
        <v>63119</v>
      </c>
      <c r="E11" s="89">
        <v>82196</v>
      </c>
      <c r="F11" s="89">
        <v>112496</v>
      </c>
      <c r="G11" s="92"/>
      <c r="H11" s="89"/>
      <c r="I11" s="89" t="s">
        <v>65</v>
      </c>
      <c r="J11" s="89"/>
      <c r="K11" s="89"/>
      <c r="L11">
        <v>50032</v>
      </c>
      <c r="M11">
        <v>68307</v>
      </c>
      <c r="N11" s="89">
        <v>87984</v>
      </c>
    </row>
    <row r="12" spans="1:15" x14ac:dyDescent="0.25">
      <c r="A12" s="89" t="s">
        <v>82</v>
      </c>
      <c r="B12" s="89"/>
      <c r="C12" s="89"/>
      <c r="D12" s="89">
        <v>-3429</v>
      </c>
      <c r="E12" s="89">
        <v>1350</v>
      </c>
      <c r="F12" s="89">
        <v>116538</v>
      </c>
      <c r="G12" s="92"/>
      <c r="H12" s="89"/>
      <c r="I12" s="89" t="s">
        <v>66</v>
      </c>
      <c r="J12" s="89"/>
      <c r="K12" s="89"/>
      <c r="L12">
        <v>18682</v>
      </c>
      <c r="M12">
        <v>29264</v>
      </c>
      <c r="N12" s="89">
        <v>49361</v>
      </c>
    </row>
    <row r="13" spans="1:15" x14ac:dyDescent="0.25">
      <c r="A13" s="89" t="s">
        <v>83</v>
      </c>
      <c r="B13" s="89"/>
      <c r="C13" s="89"/>
      <c r="D13" s="89">
        <v>318798</v>
      </c>
      <c r="E13" s="89">
        <v>422179</v>
      </c>
      <c r="F13" s="89">
        <v>678528</v>
      </c>
      <c r="G13" s="92"/>
      <c r="H13" s="89"/>
      <c r="I13" s="89" t="s">
        <v>130</v>
      </c>
      <c r="J13" s="89"/>
      <c r="K13" s="89"/>
      <c r="L13" t="s">
        <v>87</v>
      </c>
      <c r="M13" t="s">
        <v>87</v>
      </c>
      <c r="N13" s="89">
        <v>30696</v>
      </c>
    </row>
    <row r="14" spans="1:15" x14ac:dyDescent="0.25">
      <c r="A14" s="89" t="s">
        <v>84</v>
      </c>
      <c r="B14" s="89"/>
      <c r="C14" s="89"/>
      <c r="D14" s="89">
        <v>142561</v>
      </c>
      <c r="E14" s="89">
        <v>207139</v>
      </c>
      <c r="F14" s="89">
        <v>166120</v>
      </c>
      <c r="G14" s="92"/>
      <c r="H14" s="89"/>
      <c r="I14" s="89"/>
      <c r="J14" s="89"/>
      <c r="K14" s="89"/>
      <c r="N14" s="89"/>
    </row>
    <row r="15" spans="1:15" x14ac:dyDescent="0.25">
      <c r="A15" s="89" t="s">
        <v>85</v>
      </c>
      <c r="B15" s="89"/>
      <c r="C15" s="89"/>
      <c r="D15" s="89">
        <v>21105</v>
      </c>
      <c r="E15" s="89">
        <v>-19915</v>
      </c>
      <c r="F15" s="89">
        <v>3316</v>
      </c>
      <c r="G15" s="92"/>
      <c r="H15" s="89"/>
      <c r="I15" s="89" t="s">
        <v>67</v>
      </c>
      <c r="J15" s="89"/>
      <c r="K15" s="89"/>
      <c r="L15">
        <v>123680</v>
      </c>
      <c r="M15">
        <v>179816</v>
      </c>
      <c r="N15" s="89">
        <v>289392</v>
      </c>
    </row>
    <row r="16" spans="1:15" x14ac:dyDescent="0.25">
      <c r="A16" s="89" t="s">
        <v>86</v>
      </c>
      <c r="B16" s="89"/>
      <c r="C16" s="89"/>
      <c r="D16" s="89" t="s">
        <v>87</v>
      </c>
      <c r="E16" s="89" t="s">
        <v>87</v>
      </c>
      <c r="F16" s="89">
        <v>7719</v>
      </c>
      <c r="G16" s="92"/>
      <c r="H16" s="89"/>
      <c r="I16" s="89"/>
      <c r="J16" s="89"/>
      <c r="K16" s="89"/>
      <c r="N16" s="89"/>
    </row>
    <row r="17" spans="1:14" x14ac:dyDescent="0.25">
      <c r="A17" s="89" t="s">
        <v>88</v>
      </c>
      <c r="B17" s="89"/>
      <c r="C17" s="89"/>
      <c r="D17" s="89">
        <v>163666</v>
      </c>
      <c r="E17" s="89">
        <v>187224</v>
      </c>
      <c r="F17" s="89">
        <v>177155</v>
      </c>
      <c r="G17" s="92"/>
      <c r="H17" s="89"/>
      <c r="I17" s="89" t="s">
        <v>14</v>
      </c>
      <c r="J17" s="89"/>
      <c r="K17" s="89"/>
      <c r="L17">
        <v>91086</v>
      </c>
      <c r="M17">
        <v>139420</v>
      </c>
      <c r="N17" s="89">
        <v>189946</v>
      </c>
    </row>
    <row r="18" spans="1:14" x14ac:dyDescent="0.25">
      <c r="A18" s="89" t="s">
        <v>89</v>
      </c>
      <c r="B18" s="89"/>
      <c r="C18" s="89"/>
      <c r="D18" s="89">
        <v>23344</v>
      </c>
      <c r="E18" s="89">
        <v>18054</v>
      </c>
      <c r="F18" s="89">
        <v>83376</v>
      </c>
      <c r="G18" s="92"/>
      <c r="H18" s="89"/>
      <c r="I18" s="89"/>
      <c r="J18" s="89"/>
      <c r="K18" s="89"/>
      <c r="N18" s="89"/>
    </row>
    <row r="19" spans="1:14" x14ac:dyDescent="0.25">
      <c r="A19" s="89" t="s">
        <v>90</v>
      </c>
      <c r="B19" s="89"/>
      <c r="C19" s="89"/>
      <c r="D19" s="89">
        <v>140322</v>
      </c>
      <c r="E19" s="89">
        <v>169170</v>
      </c>
      <c r="F19" s="89">
        <v>93779</v>
      </c>
      <c r="G19" s="89"/>
      <c r="H19" s="92"/>
      <c r="I19" s="89" t="s">
        <v>131</v>
      </c>
      <c r="J19" s="89"/>
      <c r="K19" s="89"/>
      <c r="L19">
        <v>-9158</v>
      </c>
      <c r="M19">
        <v>2297</v>
      </c>
      <c r="N19" s="89">
        <v>11343</v>
      </c>
    </row>
    <row r="20" spans="1:14" x14ac:dyDescent="0.25">
      <c r="A20" s="89" t="s">
        <v>91</v>
      </c>
      <c r="B20" s="89"/>
      <c r="C20" s="89"/>
      <c r="D20" s="89">
        <v>2.79</v>
      </c>
      <c r="E20" s="89">
        <v>3.24</v>
      </c>
      <c r="F20" s="89">
        <v>1.7000000000000002</v>
      </c>
      <c r="G20" s="89"/>
      <c r="H20" s="89"/>
      <c r="I20" s="89"/>
      <c r="J20" s="89"/>
      <c r="K20" s="89"/>
      <c r="N20" s="89"/>
    </row>
    <row r="21" spans="1:14" x14ac:dyDescent="0.25">
      <c r="A21" s="89" t="s">
        <v>92</v>
      </c>
      <c r="B21" s="89"/>
      <c r="C21" s="89"/>
      <c r="D21" s="89">
        <v>2.66</v>
      </c>
      <c r="E21" s="89">
        <v>3.06</v>
      </c>
      <c r="F21" s="89">
        <v>1.65</v>
      </c>
      <c r="G21" s="89"/>
      <c r="H21" s="93"/>
      <c r="I21" s="89" t="s">
        <v>132</v>
      </c>
      <c r="J21" s="89"/>
      <c r="K21" s="89"/>
      <c r="L21">
        <v>100244</v>
      </c>
      <c r="M21">
        <v>137123</v>
      </c>
      <c r="N21" s="89">
        <v>178603</v>
      </c>
    </row>
    <row r="22" spans="1:14" x14ac:dyDescent="0.25">
      <c r="A22" s="89" t="s">
        <v>93</v>
      </c>
      <c r="B22" s="89"/>
      <c r="C22" s="89"/>
      <c r="D22" s="89">
        <v>50217330</v>
      </c>
      <c r="E22" s="89">
        <v>52202182</v>
      </c>
      <c r="F22" s="89">
        <v>55087770</v>
      </c>
      <c r="G22" s="91"/>
      <c r="H22" s="89"/>
      <c r="I22" s="89"/>
      <c r="J22" s="89"/>
      <c r="K22" s="89"/>
      <c r="N22" s="89"/>
    </row>
    <row r="23" spans="1:14" x14ac:dyDescent="0.25">
      <c r="A23" s="89" t="s">
        <v>94</v>
      </c>
      <c r="B23" s="89"/>
      <c r="C23" s="89"/>
      <c r="D23" s="89">
        <v>52795476</v>
      </c>
      <c r="E23" s="89">
        <v>55971030</v>
      </c>
      <c r="F23" s="89">
        <v>58100649</v>
      </c>
      <c r="G23" s="89"/>
      <c r="H23" s="89"/>
      <c r="I23" s="89" t="s">
        <v>133</v>
      </c>
      <c r="J23" s="89"/>
      <c r="K23" s="89"/>
      <c r="L23">
        <v>16072</v>
      </c>
      <c r="M23">
        <v>9077</v>
      </c>
      <c r="N23" s="89">
        <v>33646</v>
      </c>
    </row>
    <row r="24" spans="1:14" x14ac:dyDescent="0.25">
      <c r="E24" s="65"/>
    </row>
    <row r="25" spans="1:14" x14ac:dyDescent="0.25">
      <c r="E25" s="65"/>
      <c r="I25" t="s">
        <v>26</v>
      </c>
      <c r="L25">
        <v>84172</v>
      </c>
      <c r="M25">
        <v>128046</v>
      </c>
      <c r="N25">
        <v>144957</v>
      </c>
    </row>
    <row r="27" spans="1:14" x14ac:dyDescent="0.25">
      <c r="E27" s="63"/>
      <c r="I27" t="s">
        <v>134</v>
      </c>
      <c r="L27" t="s">
        <v>87</v>
      </c>
      <c r="M27">
        <v>787</v>
      </c>
      <c r="N27">
        <v>1592</v>
      </c>
    </row>
    <row r="28" spans="1:14" x14ac:dyDescent="0.25">
      <c r="E28" s="63"/>
    </row>
    <row r="29" spans="1:14" x14ac:dyDescent="0.25">
      <c r="I29" t="s">
        <v>135</v>
      </c>
      <c r="L29">
        <v>84172</v>
      </c>
      <c r="M29">
        <v>128833</v>
      </c>
      <c r="N29">
        <v>146549</v>
      </c>
    </row>
    <row r="31" spans="1:14" x14ac:dyDescent="0.25">
      <c r="I31" t="s">
        <v>136</v>
      </c>
      <c r="L31">
        <v>1.99</v>
      </c>
      <c r="M31">
        <v>2.85</v>
      </c>
      <c r="N31">
        <v>3.06</v>
      </c>
    </row>
    <row r="33" spans="9:14" x14ac:dyDescent="0.25">
      <c r="I33" t="s">
        <v>137</v>
      </c>
      <c r="L33">
        <v>1.85</v>
      </c>
      <c r="M33">
        <v>2.69</v>
      </c>
      <c r="N33">
        <v>2.9</v>
      </c>
    </row>
    <row r="35" spans="9:14" x14ac:dyDescent="0.25">
      <c r="I35" t="s">
        <v>138</v>
      </c>
      <c r="L35">
        <v>42209238</v>
      </c>
      <c r="M35">
        <v>45235310</v>
      </c>
      <c r="N35">
        <v>47918938</v>
      </c>
    </row>
    <row r="37" spans="9:14" x14ac:dyDescent="0.25">
      <c r="I37" t="s">
        <v>139</v>
      </c>
      <c r="L37">
        <v>45425307</v>
      </c>
      <c r="M37">
        <v>47980002</v>
      </c>
      <c r="N37">
        <v>50195661</v>
      </c>
    </row>
  </sheetData>
  <sortState xmlns:xlrd2="http://schemas.microsoft.com/office/spreadsheetml/2017/richdata2" columnSort="1" ref="L1:T37">
    <sortCondition ref="L1:T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B558C-AFF4-464E-87EC-D45A817926A9}">
  <dimension ref="A1:O54"/>
  <sheetViews>
    <sheetView topLeftCell="A10" workbookViewId="0">
      <selection activeCell="A21" sqref="A21"/>
    </sheetView>
  </sheetViews>
  <sheetFormatPr defaultRowHeight="15" x14ac:dyDescent="0.25"/>
  <cols>
    <col min="1" max="1" width="54.28515625" customWidth="1"/>
    <col min="10" max="10" width="30.85546875" customWidth="1"/>
  </cols>
  <sheetData>
    <row r="1" spans="1:15" x14ac:dyDescent="0.25">
      <c r="A1" t="s">
        <v>68</v>
      </c>
      <c r="M1" t="s">
        <v>128</v>
      </c>
      <c r="N1" t="s">
        <v>127</v>
      </c>
      <c r="O1" t="s">
        <v>126</v>
      </c>
    </row>
    <row r="3" spans="1:15" x14ac:dyDescent="0.25">
      <c r="D3" t="s">
        <v>71</v>
      </c>
      <c r="J3" t="s">
        <v>140</v>
      </c>
    </row>
    <row r="4" spans="1:15" x14ac:dyDescent="0.25">
      <c r="A4" s="61"/>
      <c r="B4" s="61"/>
      <c r="D4" t="s">
        <v>74</v>
      </c>
      <c r="E4" t="s">
        <v>73</v>
      </c>
      <c r="F4" s="61" t="s">
        <v>72</v>
      </c>
      <c r="G4" s="61"/>
      <c r="J4" t="s">
        <v>26</v>
      </c>
      <c r="M4">
        <v>84172</v>
      </c>
      <c r="N4">
        <v>128046</v>
      </c>
      <c r="O4">
        <v>144957</v>
      </c>
    </row>
    <row r="5" spans="1:15" x14ac:dyDescent="0.25">
      <c r="A5" t="s">
        <v>95</v>
      </c>
      <c r="F5" s="61"/>
      <c r="G5" s="61"/>
      <c r="J5" t="s">
        <v>69</v>
      </c>
    </row>
    <row r="6" spans="1:15" x14ac:dyDescent="0.25">
      <c r="A6" t="s">
        <v>26</v>
      </c>
      <c r="D6">
        <v>140322</v>
      </c>
      <c r="E6">
        <v>169170</v>
      </c>
      <c r="F6">
        <v>93779</v>
      </c>
      <c r="J6" t="s">
        <v>141</v>
      </c>
      <c r="M6">
        <v>7011</v>
      </c>
      <c r="N6">
        <v>11426</v>
      </c>
      <c r="O6">
        <v>17261</v>
      </c>
    </row>
    <row r="7" spans="1:15" x14ac:dyDescent="0.25">
      <c r="A7" t="s">
        <v>96</v>
      </c>
      <c r="C7" s="62"/>
      <c r="J7" t="s">
        <v>142</v>
      </c>
      <c r="M7">
        <v>144</v>
      </c>
      <c r="N7">
        <v>1193</v>
      </c>
      <c r="O7">
        <v>9634</v>
      </c>
    </row>
    <row r="8" spans="1:15" x14ac:dyDescent="0.25">
      <c r="A8" t="s">
        <v>97</v>
      </c>
      <c r="D8">
        <v>22355</v>
      </c>
      <c r="E8">
        <v>29359</v>
      </c>
      <c r="F8">
        <v>40580</v>
      </c>
      <c r="J8" t="s">
        <v>143</v>
      </c>
      <c r="M8">
        <v>2061</v>
      </c>
      <c r="N8">
        <v>1242</v>
      </c>
      <c r="O8">
        <v>92</v>
      </c>
    </row>
    <row r="9" spans="1:15" x14ac:dyDescent="0.25">
      <c r="A9" t="s">
        <v>98</v>
      </c>
      <c r="C9" s="63"/>
      <c r="D9">
        <v>9479</v>
      </c>
      <c r="E9">
        <v>10176</v>
      </c>
      <c r="F9">
        <v>9096</v>
      </c>
      <c r="J9" t="s">
        <v>144</v>
      </c>
      <c r="M9">
        <v>17564</v>
      </c>
      <c r="N9">
        <v>30618</v>
      </c>
      <c r="O9">
        <v>60353</v>
      </c>
    </row>
    <row r="10" spans="1:15" x14ac:dyDescent="0.25">
      <c r="A10" t="s">
        <v>99</v>
      </c>
      <c r="C10" s="61"/>
      <c r="D10">
        <v>3185</v>
      </c>
      <c r="E10">
        <v>2903</v>
      </c>
      <c r="F10">
        <v>2916</v>
      </c>
      <c r="J10" t="s">
        <v>145</v>
      </c>
      <c r="M10">
        <v>-5455</v>
      </c>
      <c r="N10">
        <v>-7093</v>
      </c>
      <c r="O10">
        <v>-6037</v>
      </c>
    </row>
    <row r="11" spans="1:15" x14ac:dyDescent="0.25">
      <c r="A11" t="s">
        <v>100</v>
      </c>
      <c r="C11" s="63"/>
      <c r="D11">
        <v>1168</v>
      </c>
      <c r="E11">
        <v>9462</v>
      </c>
      <c r="F11">
        <v>9310</v>
      </c>
      <c r="J11" t="s">
        <v>146</v>
      </c>
      <c r="M11" t="s">
        <v>87</v>
      </c>
      <c r="N11" t="s">
        <v>87</v>
      </c>
      <c r="O11">
        <v>5269</v>
      </c>
    </row>
    <row r="12" spans="1:15" x14ac:dyDescent="0.25">
      <c r="A12" t="s">
        <v>101</v>
      </c>
      <c r="C12" s="64"/>
      <c r="D12" t="s">
        <v>87</v>
      </c>
      <c r="E12" t="s">
        <v>87</v>
      </c>
      <c r="F12">
        <v>118492</v>
      </c>
      <c r="J12" t="s">
        <v>147</v>
      </c>
      <c r="M12">
        <v>-994</v>
      </c>
      <c r="N12">
        <v>551</v>
      </c>
      <c r="O12">
        <v>713</v>
      </c>
    </row>
    <row r="13" spans="1:15" x14ac:dyDescent="0.25">
      <c r="A13" t="s">
        <v>102</v>
      </c>
      <c r="C13" s="63"/>
      <c r="D13">
        <v>67309</v>
      </c>
      <c r="E13">
        <v>102593</v>
      </c>
      <c r="F13">
        <v>145539</v>
      </c>
      <c r="J13" t="s">
        <v>148</v>
      </c>
    </row>
    <row r="14" spans="1:15" x14ac:dyDescent="0.25">
      <c r="A14" t="s">
        <v>103</v>
      </c>
      <c r="C14" s="63"/>
      <c r="D14" t="s">
        <v>87</v>
      </c>
      <c r="E14" t="s">
        <v>87</v>
      </c>
      <c r="F14">
        <v>-7719</v>
      </c>
      <c r="J14" t="s">
        <v>149</v>
      </c>
      <c r="M14">
        <v>-15690</v>
      </c>
      <c r="N14">
        <v>-20178</v>
      </c>
      <c r="O14">
        <v>-22544</v>
      </c>
    </row>
    <row r="15" spans="1:15" x14ac:dyDescent="0.25">
      <c r="A15" t="s">
        <v>104</v>
      </c>
      <c r="C15" s="63"/>
      <c r="D15">
        <v>-2738</v>
      </c>
      <c r="E15">
        <v>-12045</v>
      </c>
      <c r="F15">
        <v>-11055</v>
      </c>
      <c r="J15" t="s">
        <v>58</v>
      </c>
      <c r="M15">
        <v>-20943</v>
      </c>
      <c r="N15">
        <v>-2711</v>
      </c>
      <c r="O15">
        <v>-67323</v>
      </c>
    </row>
    <row r="16" spans="1:15" x14ac:dyDescent="0.25">
      <c r="A16" t="s">
        <v>105</v>
      </c>
      <c r="C16" s="63"/>
      <c r="D16">
        <v>3860</v>
      </c>
      <c r="E16">
        <v>20697</v>
      </c>
      <c r="F16">
        <v>10052</v>
      </c>
      <c r="J16" t="s">
        <v>150</v>
      </c>
      <c r="M16">
        <v>-38139</v>
      </c>
      <c r="N16">
        <v>-60514</v>
      </c>
      <c r="O16">
        <v>-124071</v>
      </c>
    </row>
    <row r="17" spans="1:15" x14ac:dyDescent="0.25">
      <c r="A17" t="s">
        <v>106</v>
      </c>
      <c r="C17" s="63"/>
      <c r="J17" t="s">
        <v>151</v>
      </c>
      <c r="M17" t="s">
        <v>87</v>
      </c>
      <c r="N17" t="s">
        <v>87</v>
      </c>
      <c r="O17">
        <v>2192</v>
      </c>
    </row>
    <row r="18" spans="1:15" x14ac:dyDescent="0.25">
      <c r="A18" t="s">
        <v>107</v>
      </c>
      <c r="C18" s="63"/>
      <c r="D18">
        <v>-149661</v>
      </c>
      <c r="E18">
        <v>-43051</v>
      </c>
      <c r="F18">
        <v>-341085</v>
      </c>
      <c r="J18" t="s">
        <v>152</v>
      </c>
      <c r="M18">
        <v>35455</v>
      </c>
      <c r="N18">
        <v>31482</v>
      </c>
      <c r="O18">
        <v>47837</v>
      </c>
    </row>
    <row r="19" spans="1:15" x14ac:dyDescent="0.25">
      <c r="A19" t="s">
        <v>108</v>
      </c>
      <c r="D19">
        <v>-3276</v>
      </c>
      <c r="E19">
        <v>-39444</v>
      </c>
      <c r="F19">
        <v>-64991</v>
      </c>
      <c r="J19" t="s">
        <v>153</v>
      </c>
      <c r="M19">
        <v>9394</v>
      </c>
      <c r="N19">
        <v>4583</v>
      </c>
      <c r="O19">
        <v>18592</v>
      </c>
    </row>
    <row r="20" spans="1:15" x14ac:dyDescent="0.25">
      <c r="A20" t="s">
        <v>109</v>
      </c>
      <c r="C20" s="64"/>
      <c r="D20">
        <v>86538</v>
      </c>
      <c r="E20">
        <v>-247723</v>
      </c>
      <c r="F20">
        <v>-457610</v>
      </c>
      <c r="J20" t="s">
        <v>154</v>
      </c>
      <c r="M20">
        <v>20436</v>
      </c>
      <c r="N20">
        <v>41878</v>
      </c>
      <c r="O20">
        <v>50780</v>
      </c>
    </row>
    <row r="21" spans="1:15" x14ac:dyDescent="0.25">
      <c r="A21" t="s">
        <v>110</v>
      </c>
      <c r="C21" s="64"/>
      <c r="D21">
        <v>3333</v>
      </c>
      <c r="E21">
        <v>91709</v>
      </c>
      <c r="F21">
        <v>194524</v>
      </c>
      <c r="J21" t="s">
        <v>155</v>
      </c>
      <c r="M21">
        <v>14106</v>
      </c>
      <c r="N21">
        <v>37041</v>
      </c>
      <c r="O21">
        <v>83137</v>
      </c>
    </row>
    <row r="22" spans="1:15" x14ac:dyDescent="0.25">
      <c r="A22" t="s">
        <v>111</v>
      </c>
      <c r="C22" s="64"/>
      <c r="D22">
        <v>18315</v>
      </c>
      <c r="E22">
        <v>26519</v>
      </c>
      <c r="F22">
        <v>26238</v>
      </c>
      <c r="J22" t="s">
        <v>156</v>
      </c>
      <c r="M22">
        <v>27543</v>
      </c>
      <c r="N22">
        <v>-8485</v>
      </c>
      <c r="O22">
        <v>38158</v>
      </c>
    </row>
    <row r="23" spans="1:15" x14ac:dyDescent="0.25">
      <c r="A23" t="s">
        <v>112</v>
      </c>
      <c r="C23" s="63"/>
      <c r="D23">
        <v>32274</v>
      </c>
      <c r="E23">
        <v>60524</v>
      </c>
      <c r="F23">
        <v>120169</v>
      </c>
    </row>
    <row r="24" spans="1:15" x14ac:dyDescent="0.25">
      <c r="A24" t="s">
        <v>113</v>
      </c>
      <c r="C24" s="63"/>
      <c r="D24">
        <v>-21438</v>
      </c>
      <c r="E24">
        <v>29936</v>
      </c>
      <c r="F24">
        <v>44376</v>
      </c>
      <c r="J24" t="s">
        <v>59</v>
      </c>
      <c r="M24">
        <v>136665</v>
      </c>
      <c r="N24">
        <v>189079</v>
      </c>
      <c r="O24">
        <v>259000</v>
      </c>
    </row>
    <row r="25" spans="1:15" x14ac:dyDescent="0.25">
      <c r="A25" t="s">
        <v>114</v>
      </c>
      <c r="C25" s="63"/>
      <c r="D25">
        <v>11630</v>
      </c>
      <c r="E25">
        <v>3344</v>
      </c>
      <c r="F25">
        <v>98673</v>
      </c>
    </row>
    <row r="26" spans="1:15" x14ac:dyDescent="0.25">
      <c r="A26" t="s">
        <v>115</v>
      </c>
      <c r="C26" s="64"/>
      <c r="D26">
        <v>222655</v>
      </c>
      <c r="E26">
        <v>214129</v>
      </c>
      <c r="F26">
        <v>31284</v>
      </c>
      <c r="J26" t="s">
        <v>60</v>
      </c>
    </row>
    <row r="27" spans="1:15" x14ac:dyDescent="0.25">
      <c r="A27" t="s">
        <v>116</v>
      </c>
      <c r="J27" t="s">
        <v>157</v>
      </c>
      <c r="M27" t="s">
        <v>87</v>
      </c>
      <c r="N27">
        <v>-94737</v>
      </c>
      <c r="O27">
        <v>-38435</v>
      </c>
    </row>
    <row r="28" spans="1:15" x14ac:dyDescent="0.25">
      <c r="A28" t="s">
        <v>117</v>
      </c>
      <c r="C28" s="63"/>
      <c r="D28">
        <v>141839</v>
      </c>
      <c r="E28">
        <v>202188</v>
      </c>
      <c r="F28">
        <v>231210</v>
      </c>
      <c r="J28" t="s">
        <v>158</v>
      </c>
      <c r="M28">
        <v>-21382</v>
      </c>
      <c r="N28">
        <v>-38608</v>
      </c>
      <c r="O28">
        <v>-72562</v>
      </c>
    </row>
    <row r="29" spans="1:15" x14ac:dyDescent="0.25">
      <c r="A29" t="s">
        <v>118</v>
      </c>
      <c r="D29">
        <v>-126790</v>
      </c>
      <c r="E29">
        <v>-149251</v>
      </c>
      <c r="F29">
        <v>-169341</v>
      </c>
      <c r="J29" t="s">
        <v>159</v>
      </c>
      <c r="M29" t="s">
        <v>87</v>
      </c>
      <c r="N29">
        <v>-9870</v>
      </c>
      <c r="O29">
        <v>4860</v>
      </c>
    </row>
    <row r="30" spans="1:15" x14ac:dyDescent="0.25">
      <c r="A30" t="s">
        <v>119</v>
      </c>
      <c r="C30" s="64"/>
      <c r="D30">
        <v>-223705</v>
      </c>
      <c r="E30">
        <v>-579377</v>
      </c>
      <c r="F30">
        <v>-507171</v>
      </c>
      <c r="J30" t="s">
        <v>160</v>
      </c>
      <c r="M30">
        <v>-619</v>
      </c>
      <c r="N30">
        <v>-112</v>
      </c>
      <c r="O30">
        <v>-26145</v>
      </c>
    </row>
    <row r="31" spans="1:15" x14ac:dyDescent="0.25">
      <c r="A31" t="s">
        <v>120</v>
      </c>
      <c r="C31" s="63"/>
      <c r="D31" t="s">
        <v>87</v>
      </c>
      <c r="E31">
        <v>-16643</v>
      </c>
      <c r="F31" t="s">
        <v>87</v>
      </c>
      <c r="J31" t="s">
        <v>161</v>
      </c>
      <c r="M31">
        <v>-143675</v>
      </c>
      <c r="N31">
        <v>-142627</v>
      </c>
      <c r="O31">
        <v>-160054</v>
      </c>
    </row>
    <row r="32" spans="1:15" x14ac:dyDescent="0.25">
      <c r="A32" t="s">
        <v>121</v>
      </c>
      <c r="C32" s="63"/>
      <c r="D32" t="s">
        <v>87</v>
      </c>
      <c r="E32" t="s">
        <v>87</v>
      </c>
      <c r="F32">
        <v>24362</v>
      </c>
      <c r="J32" t="s">
        <v>162</v>
      </c>
      <c r="M32">
        <v>80269</v>
      </c>
      <c r="N32">
        <v>129345</v>
      </c>
      <c r="O32">
        <v>142744</v>
      </c>
    </row>
    <row r="33" spans="1:15" x14ac:dyDescent="0.25">
      <c r="A33" t="s">
        <v>122</v>
      </c>
      <c r="C33" s="64"/>
      <c r="D33">
        <v>-54752</v>
      </c>
      <c r="E33">
        <v>60096</v>
      </c>
      <c r="F33" t="s">
        <v>87</v>
      </c>
      <c r="J33" t="s">
        <v>163</v>
      </c>
      <c r="M33" t="s">
        <v>87</v>
      </c>
      <c r="N33" t="s">
        <v>87</v>
      </c>
      <c r="O33">
        <v>-3261</v>
      </c>
    </row>
    <row r="34" spans="1:15" x14ac:dyDescent="0.25">
      <c r="A34" t="s">
        <v>123</v>
      </c>
      <c r="C34" s="64"/>
      <c r="D34">
        <v>25267</v>
      </c>
      <c r="E34">
        <v>798</v>
      </c>
      <c r="F34">
        <v>-242</v>
      </c>
    </row>
    <row r="35" spans="1:15" x14ac:dyDescent="0.25">
      <c r="A35" t="s">
        <v>124</v>
      </c>
      <c r="D35">
        <v>1504</v>
      </c>
      <c r="E35">
        <v>-2022</v>
      </c>
      <c r="F35">
        <v>4138</v>
      </c>
      <c r="J35" t="s">
        <v>61</v>
      </c>
      <c r="M35">
        <v>-85407</v>
      </c>
      <c r="N35">
        <v>-156609</v>
      </c>
      <c r="O35">
        <v>-152853</v>
      </c>
    </row>
    <row r="36" spans="1:15" x14ac:dyDescent="0.25">
      <c r="A36" t="s">
        <v>125</v>
      </c>
      <c r="D36">
        <v>-236637</v>
      </c>
      <c r="E36">
        <v>-484211</v>
      </c>
      <c r="F36" s="64">
        <v>-417044</v>
      </c>
    </row>
    <row r="37" spans="1:15" x14ac:dyDescent="0.25">
      <c r="C37" s="64"/>
    </row>
    <row r="39" spans="1:15" x14ac:dyDescent="0.25">
      <c r="C39" s="63"/>
    </row>
    <row r="40" spans="1:15" x14ac:dyDescent="0.25">
      <c r="C40" s="64"/>
    </row>
    <row r="42" spans="1:15" x14ac:dyDescent="0.25">
      <c r="C42" s="61"/>
    </row>
    <row r="43" spans="1:15" x14ac:dyDescent="0.25">
      <c r="C43" s="63"/>
    </row>
    <row r="44" spans="1:15" x14ac:dyDescent="0.25">
      <c r="C44" s="63"/>
    </row>
    <row r="45" spans="1:15" x14ac:dyDescent="0.25">
      <c r="C45" s="63"/>
    </row>
    <row r="46" spans="1:15" x14ac:dyDescent="0.25">
      <c r="C46" s="63"/>
    </row>
    <row r="48" spans="1:15" x14ac:dyDescent="0.25">
      <c r="C48" s="61"/>
    </row>
    <row r="50" spans="3:3" x14ac:dyDescent="0.25">
      <c r="C50" s="63"/>
    </row>
    <row r="51" spans="3:3" x14ac:dyDescent="0.25">
      <c r="C51" s="61"/>
    </row>
    <row r="52" spans="3:3" x14ac:dyDescent="0.25">
      <c r="C52" s="63"/>
    </row>
    <row r="53" spans="3:3" x14ac:dyDescent="0.25">
      <c r="C53" s="63"/>
    </row>
    <row r="54" spans="3:3" x14ac:dyDescent="0.25">
      <c r="C54" s="62"/>
    </row>
  </sheetData>
  <sortState xmlns:xlrd2="http://schemas.microsoft.com/office/spreadsheetml/2017/richdata2" columnSort="1" ref="M1:U35">
    <sortCondition ref="M1:U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6A8D0-EB60-4713-9C2D-7D0CE764B52F}">
  <dimension ref="A1:N21"/>
  <sheetViews>
    <sheetView workbookViewId="0">
      <selection activeCell="D8" sqref="D8"/>
    </sheetView>
  </sheetViews>
  <sheetFormatPr defaultRowHeight="15" x14ac:dyDescent="0.25"/>
  <cols>
    <col min="3" max="3" width="12.42578125" customWidth="1"/>
    <col min="11" max="11" width="11.7109375" customWidth="1"/>
  </cols>
  <sheetData>
    <row r="1" spans="1:14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4" ht="23.25" x14ac:dyDescent="0.35">
      <c r="A2" s="2"/>
      <c r="B2" s="36" t="s">
        <v>1</v>
      </c>
      <c r="C2" s="2"/>
      <c r="D2" s="2"/>
      <c r="E2" s="2"/>
      <c r="F2" s="2"/>
      <c r="G2" s="2"/>
      <c r="H2" s="2"/>
      <c r="I2" s="2"/>
      <c r="J2" s="2"/>
      <c r="K2" s="2"/>
      <c r="L2" s="37"/>
    </row>
    <row r="3" spans="1:14" x14ac:dyDescent="0.25">
      <c r="A3" s="38"/>
      <c r="B3" s="38"/>
      <c r="C3" s="38"/>
      <c r="D3" s="38"/>
      <c r="E3" s="38"/>
      <c r="F3" s="38"/>
      <c r="G3" s="38"/>
      <c r="H3" s="38"/>
      <c r="I3" s="38"/>
      <c r="J3" s="38"/>
      <c r="K3" s="38"/>
      <c r="L3" s="2"/>
    </row>
    <row r="4" spans="1:14" x14ac:dyDescent="0.25">
      <c r="A4" s="39" t="s">
        <v>42</v>
      </c>
      <c r="B4" s="39"/>
      <c r="C4" s="39"/>
      <c r="D4" s="39"/>
      <c r="E4" s="39"/>
      <c r="F4" s="39"/>
      <c r="G4" s="39"/>
      <c r="H4" s="39"/>
      <c r="I4" s="39"/>
      <c r="J4" s="39"/>
      <c r="K4" s="39"/>
      <c r="L4" s="39"/>
    </row>
    <row r="5" spans="1:1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4" x14ac:dyDescent="0.25">
      <c r="A6" s="2"/>
      <c r="B6" s="2" t="s">
        <v>43</v>
      </c>
      <c r="C6" s="2"/>
      <c r="D6" s="40">
        <f>'SEDG DCF'!P44</f>
        <v>0.2</v>
      </c>
      <c r="E6" s="2"/>
      <c r="F6" s="2"/>
      <c r="G6" s="2"/>
      <c r="H6" s="2"/>
      <c r="I6" s="2"/>
      <c r="J6" s="2"/>
      <c r="K6" s="2"/>
      <c r="L6" s="2"/>
    </row>
    <row r="7" spans="1:14" x14ac:dyDescent="0.25">
      <c r="A7" s="2"/>
      <c r="B7" s="2" t="s">
        <v>44</v>
      </c>
      <c r="C7" s="2"/>
      <c r="D7" s="40">
        <v>3.6999999999999998E-2</v>
      </c>
      <c r="E7" s="2"/>
      <c r="F7" s="2"/>
      <c r="G7" s="2"/>
      <c r="H7" s="2"/>
      <c r="I7" s="2"/>
      <c r="J7" s="2"/>
      <c r="K7" s="2"/>
      <c r="L7" s="2"/>
    </row>
    <row r="8" spans="1:14" x14ac:dyDescent="0.25">
      <c r="A8" s="2"/>
      <c r="B8" s="2" t="s">
        <v>45</v>
      </c>
      <c r="C8" s="2"/>
      <c r="D8" s="67">
        <v>1.33</v>
      </c>
      <c r="E8" s="2"/>
      <c r="F8" s="2"/>
      <c r="G8" s="2"/>
      <c r="H8" s="2"/>
      <c r="I8" s="2"/>
      <c r="J8" s="2"/>
      <c r="K8" s="2"/>
      <c r="L8" s="2"/>
    </row>
    <row r="9" spans="1:14" x14ac:dyDescent="0.25">
      <c r="A9" s="2"/>
      <c r="B9" s="2" t="s">
        <v>46</v>
      </c>
      <c r="C9" s="2"/>
      <c r="D9" s="40">
        <v>0.06</v>
      </c>
      <c r="E9" s="2"/>
      <c r="F9" s="2"/>
      <c r="G9" s="2"/>
      <c r="H9" s="2"/>
      <c r="I9" s="2"/>
      <c r="J9" s="2"/>
      <c r="K9" s="2"/>
      <c r="L9" s="2"/>
    </row>
    <row r="10" spans="1:1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34"/>
    </row>
    <row r="11" spans="1:1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4" x14ac:dyDescent="0.25">
      <c r="A12" s="2" t="s">
        <v>36</v>
      </c>
      <c r="B12" s="2"/>
      <c r="C12" s="21">
        <f>'SEDG DCF'!D70</f>
        <v>10767196.009199999</v>
      </c>
      <c r="D12" s="2"/>
      <c r="E12" s="2" t="s">
        <v>35</v>
      </c>
      <c r="F12" s="2"/>
      <c r="G12" s="21">
        <f>'SEDG DCF'!D67</f>
        <v>463127</v>
      </c>
      <c r="H12" s="2"/>
      <c r="I12" s="2" t="s">
        <v>47</v>
      </c>
      <c r="J12" s="2"/>
      <c r="K12" s="21">
        <f>G12+C12</f>
        <v>11230323.009199999</v>
      </c>
      <c r="L12" s="2"/>
    </row>
    <row r="13" spans="1:14" x14ac:dyDescent="0.25">
      <c r="A13" s="2" t="s">
        <v>48</v>
      </c>
      <c r="B13" s="2"/>
      <c r="C13" s="41">
        <f>C12/K12</f>
        <v>0.95876102587426904</v>
      </c>
      <c r="D13" s="2"/>
      <c r="E13" s="2" t="s">
        <v>49</v>
      </c>
      <c r="F13" s="2"/>
      <c r="G13" s="42">
        <f>G12/K12</f>
        <v>4.1238974125730979E-2</v>
      </c>
      <c r="H13" s="2"/>
      <c r="I13" s="2"/>
      <c r="J13" s="2"/>
      <c r="K13" s="2"/>
      <c r="L13" s="2"/>
      <c r="M13" s="34"/>
    </row>
    <row r="14" spans="1:14" x14ac:dyDescent="0.25">
      <c r="A14" s="2" t="s">
        <v>50</v>
      </c>
      <c r="B14" s="2"/>
      <c r="C14" s="43">
        <f>D7+D8*(D9)</f>
        <v>0.11679999999999999</v>
      </c>
      <c r="D14" s="2"/>
      <c r="E14" s="2" t="s">
        <v>51</v>
      </c>
      <c r="F14" s="2"/>
      <c r="G14" s="44">
        <v>0.03</v>
      </c>
      <c r="H14" s="2"/>
      <c r="I14" s="45" t="s">
        <v>1</v>
      </c>
      <c r="J14" s="46"/>
      <c r="K14" s="59">
        <f>C13*C14+G14*G13*(1-D6)</f>
        <v>0.11297302320113216</v>
      </c>
      <c r="L14" s="2"/>
    </row>
    <row r="15" spans="1:14" x14ac:dyDescent="0.25">
      <c r="D15" s="34"/>
      <c r="G15" s="34"/>
      <c r="J15" s="34"/>
      <c r="M15" s="34"/>
    </row>
    <row r="16" spans="1:14" x14ac:dyDescent="0.25">
      <c r="A16" t="s">
        <v>41</v>
      </c>
      <c r="B16" t="s">
        <v>41</v>
      </c>
      <c r="C16" t="s">
        <v>41</v>
      </c>
      <c r="D16" t="s">
        <v>41</v>
      </c>
      <c r="E16" t="s">
        <v>41</v>
      </c>
      <c r="F16" t="s">
        <v>41</v>
      </c>
      <c r="G16" t="s">
        <v>41</v>
      </c>
      <c r="H16" t="s">
        <v>41</v>
      </c>
      <c r="I16" t="s">
        <v>41</v>
      </c>
      <c r="J16" t="s">
        <v>41</v>
      </c>
      <c r="K16" t="s">
        <v>41</v>
      </c>
      <c r="L16" t="s">
        <v>41</v>
      </c>
      <c r="M16" t="s">
        <v>41</v>
      </c>
      <c r="N16" t="s">
        <v>41</v>
      </c>
    </row>
    <row r="17" spans="4:13" x14ac:dyDescent="0.25">
      <c r="D17" s="34"/>
      <c r="G17" s="34"/>
      <c r="J17" s="34"/>
      <c r="M17" s="34"/>
    </row>
    <row r="21" spans="4:13" x14ac:dyDescent="0.25">
      <c r="D21" s="34"/>
      <c r="E21" s="34"/>
      <c r="F21" s="34"/>
      <c r="G21" s="34"/>
      <c r="H21" s="34"/>
      <c r="I21" s="34"/>
      <c r="J21" s="34"/>
      <c r="K21" s="34"/>
      <c r="L21" s="34"/>
      <c r="M21" s="3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SEDG DCF</vt:lpstr>
      <vt:lpstr>Raw IS</vt:lpstr>
      <vt:lpstr>Raw CF</vt:lpstr>
      <vt:lpstr>WACC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UTENTE</cp:lastModifiedBy>
  <dcterms:created xsi:type="dcterms:W3CDTF">2023-05-03T08:58:35Z</dcterms:created>
  <dcterms:modified xsi:type="dcterms:W3CDTF">2023-08-04T16:05:33Z</dcterms:modified>
</cp:coreProperties>
</file>