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9104B107-6A77-4A75-8457-82E44F8E2F1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KO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3" i="1"/>
  <c r="D60" i="1"/>
  <c r="D62" i="1"/>
  <c r="J51" i="1"/>
  <c r="K51" i="1"/>
  <c r="L51" i="1"/>
  <c r="M51" i="1"/>
  <c r="N51" i="1"/>
  <c r="O51" i="1"/>
  <c r="P51" i="1"/>
  <c r="Q51" i="1"/>
  <c r="R51" i="1"/>
  <c r="I51" i="1"/>
  <c r="I44" i="1"/>
  <c r="J44" i="1"/>
  <c r="K44" i="1"/>
  <c r="L44" i="1"/>
  <c r="M44" i="1"/>
  <c r="N44" i="1"/>
  <c r="O44" i="1"/>
  <c r="P44" i="1"/>
  <c r="Q44" i="1"/>
  <c r="R44" i="1"/>
  <c r="I41" i="1"/>
  <c r="J41" i="1"/>
  <c r="K41" i="1"/>
  <c r="L41" i="1"/>
  <c r="M41" i="1"/>
  <c r="N41" i="1"/>
  <c r="O41" i="1"/>
  <c r="P41" i="1"/>
  <c r="Q41" i="1"/>
  <c r="R41" i="1"/>
  <c r="I33" i="1"/>
  <c r="J33" i="1"/>
  <c r="K33" i="1"/>
  <c r="L33" i="1"/>
  <c r="M33" i="1"/>
  <c r="N33" i="1"/>
  <c r="O33" i="1"/>
  <c r="P33" i="1"/>
  <c r="Q33" i="1"/>
  <c r="R33" i="1"/>
  <c r="J27" i="1"/>
  <c r="K27" i="1"/>
  <c r="L27" i="1"/>
  <c r="M27" i="1"/>
  <c r="N27" i="1"/>
  <c r="O27" i="1"/>
  <c r="P27" i="1"/>
  <c r="Q27" i="1"/>
  <c r="R27" i="1"/>
  <c r="I27" i="1"/>
  <c r="I25" i="1"/>
  <c r="J25" i="1"/>
  <c r="K25" i="1"/>
  <c r="L25" i="1"/>
  <c r="M25" i="1"/>
  <c r="N25" i="1"/>
  <c r="O25" i="1"/>
  <c r="P25" i="1"/>
  <c r="Q25" i="1"/>
  <c r="R25" i="1"/>
  <c r="J14" i="1"/>
  <c r="K14" i="1"/>
  <c r="L14" i="1"/>
  <c r="M14" i="1"/>
  <c r="N14" i="1"/>
  <c r="O14" i="1"/>
  <c r="P14" i="1"/>
  <c r="Q14" i="1"/>
  <c r="R14" i="1"/>
  <c r="I14" i="1"/>
  <c r="M17" i="1"/>
  <c r="N17" i="1"/>
  <c r="O17" i="1" s="1"/>
  <c r="P17" i="1" s="1"/>
  <c r="Q17" i="1" s="1"/>
  <c r="R17" i="1" s="1"/>
  <c r="L17" i="1"/>
  <c r="I12" i="1"/>
  <c r="J12" i="1"/>
  <c r="K12" i="1"/>
  <c r="L12" i="1"/>
  <c r="M12" i="1"/>
  <c r="N12" i="1"/>
  <c r="O12" i="1"/>
  <c r="P12" i="1"/>
  <c r="Q12" i="1"/>
  <c r="R12" i="1"/>
  <c r="C53" i="1"/>
  <c r="G50" i="1"/>
  <c r="H50" i="1"/>
  <c r="F50" i="1"/>
  <c r="D50" i="1"/>
  <c r="E50" i="1"/>
  <c r="C50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G36" i="1"/>
  <c r="H36" i="1"/>
  <c r="F36" i="1"/>
  <c r="D36" i="1"/>
  <c r="E36" i="1"/>
  <c r="C36" i="1"/>
  <c r="D25" i="1"/>
  <c r="H25" i="1"/>
  <c r="G22" i="1"/>
  <c r="G23" i="1" s="1"/>
  <c r="H22" i="1"/>
  <c r="H23" i="1" s="1"/>
  <c r="F22" i="1"/>
  <c r="F23" i="1" s="1"/>
  <c r="D22" i="1"/>
  <c r="D23" i="1" s="1"/>
  <c r="E22" i="1"/>
  <c r="E23" i="1" s="1"/>
  <c r="C22" i="1"/>
  <c r="C23" i="1" s="1"/>
  <c r="G19" i="1"/>
  <c r="G25" i="1" s="1"/>
  <c r="H19" i="1"/>
  <c r="F19" i="1"/>
  <c r="F25" i="1" s="1"/>
  <c r="D19" i="1"/>
  <c r="E19" i="1"/>
  <c r="E25" i="1" s="1"/>
  <c r="C19" i="1"/>
  <c r="C25" i="1" s="1"/>
  <c r="G16" i="1"/>
  <c r="G27" i="1" s="1"/>
  <c r="G31" i="1" s="1"/>
  <c r="G51" i="1" s="1"/>
  <c r="G14" i="1"/>
  <c r="H14" i="1"/>
  <c r="F14" i="1"/>
  <c r="D14" i="1"/>
  <c r="E14" i="1"/>
  <c r="C14" i="1"/>
  <c r="G11" i="1"/>
  <c r="H11" i="1"/>
  <c r="H16" i="1" s="1"/>
  <c r="H27" i="1" s="1"/>
  <c r="H31" i="1" s="1"/>
  <c r="H51" i="1" s="1"/>
  <c r="F11" i="1"/>
  <c r="F16" i="1" s="1"/>
  <c r="F27" i="1" s="1"/>
  <c r="F31" i="1" s="1"/>
  <c r="F51" i="1" s="1"/>
  <c r="D11" i="1"/>
  <c r="D16" i="1" s="1"/>
  <c r="D27" i="1" s="1"/>
  <c r="D31" i="1" s="1"/>
  <c r="D51" i="1" s="1"/>
  <c r="E11" i="1"/>
  <c r="E41" i="1" s="1"/>
  <c r="C11" i="1"/>
  <c r="C41" i="1" s="1"/>
  <c r="L60" i="1"/>
  <c r="L59" i="1" s="1"/>
  <c r="D63" i="1"/>
  <c r="C12" i="2" s="1"/>
  <c r="E19" i="3"/>
  <c r="E20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E16" i="1" l="1"/>
  <c r="E27" i="1" s="1"/>
  <c r="E31" i="1" s="1"/>
  <c r="E51" i="1" s="1"/>
  <c r="C16" i="1"/>
  <c r="C27" i="1" s="1"/>
  <c r="C31" i="1" s="1"/>
  <c r="C51" i="1" s="1"/>
  <c r="D47" i="1"/>
  <c r="F12" i="1"/>
  <c r="F20" i="1"/>
  <c r="C29" i="1"/>
  <c r="D29" i="1"/>
  <c r="H29" i="1"/>
  <c r="E29" i="1"/>
  <c r="F29" i="1"/>
  <c r="G29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D17" i="1"/>
  <c r="F17" i="1"/>
  <c r="C17" i="1"/>
  <c r="H20" i="1"/>
  <c r="H41" i="1"/>
  <c r="C44" i="1"/>
  <c r="H44" i="1"/>
  <c r="H47" i="1"/>
  <c r="E12" i="1"/>
  <c r="E44" i="1"/>
  <c r="K12" i="2"/>
  <c r="G13" i="2" s="1"/>
  <c r="G17" i="1"/>
  <c r="G33" i="1" l="1"/>
  <c r="G49" i="1" s="1"/>
  <c r="E17" i="1"/>
  <c r="E33" i="1"/>
  <c r="H17" i="1"/>
  <c r="C13" i="2"/>
  <c r="K14" i="2" s="1"/>
  <c r="E5" i="1" s="1"/>
  <c r="F33" i="1"/>
  <c r="F49" i="1" s="1"/>
  <c r="D33" i="1"/>
  <c r="D49" i="1" s="1"/>
  <c r="H33" i="1"/>
  <c r="G37" i="1"/>
  <c r="G34" i="1"/>
  <c r="G53" i="1"/>
  <c r="H49" i="1" l="1"/>
  <c r="H53" i="1" s="1"/>
  <c r="E49" i="1"/>
  <c r="E53" i="1" s="1"/>
  <c r="J28" i="1"/>
  <c r="E34" i="1"/>
  <c r="E37" i="1"/>
  <c r="H34" i="1"/>
  <c r="F37" i="1"/>
  <c r="F53" i="1"/>
  <c r="D53" i="1"/>
  <c r="C33" i="1"/>
  <c r="C49" i="1" s="1"/>
  <c r="D34" i="1"/>
  <c r="D37" i="1"/>
  <c r="F34" i="1"/>
  <c r="H37" i="1"/>
  <c r="K28" i="1" l="1"/>
  <c r="C37" i="1"/>
  <c r="C34" i="1"/>
  <c r="I46" i="1"/>
  <c r="L28" i="1" l="1"/>
  <c r="M28" i="1" l="1"/>
  <c r="I31" i="1"/>
  <c r="N28" i="1" l="1"/>
  <c r="O28" i="1" l="1"/>
  <c r="I34" i="1"/>
  <c r="I36" i="1"/>
  <c r="I49" i="1" s="1"/>
  <c r="I53" i="1" s="1"/>
  <c r="I54" i="1" s="1"/>
  <c r="P28" i="1" l="1"/>
  <c r="Q28" i="1" l="1"/>
  <c r="J46" i="1"/>
  <c r="J16" i="1"/>
  <c r="R28" i="1" l="1"/>
  <c r="J31" i="1"/>
  <c r="J36" i="1" l="1"/>
  <c r="K16" i="1"/>
  <c r="K46" i="1"/>
  <c r="J34" i="1" l="1"/>
  <c r="K31" i="1"/>
  <c r="J49" i="1"/>
  <c r="J53" i="1" s="1"/>
  <c r="J54" i="1" s="1"/>
  <c r="L16" i="1"/>
  <c r="L46" i="1"/>
  <c r="L31" i="1" l="1"/>
  <c r="K36" i="1" l="1"/>
  <c r="K34" i="1"/>
  <c r="L36" i="1"/>
  <c r="L34" i="1"/>
  <c r="L49" i="1"/>
  <c r="L53" i="1" s="1"/>
  <c r="L54" i="1" s="1"/>
  <c r="M46" i="1"/>
  <c r="M16" i="1"/>
  <c r="M31" i="1" l="1"/>
  <c r="K49" i="1"/>
  <c r="K53" i="1" s="1"/>
  <c r="K54" i="1" s="1"/>
  <c r="M34" i="1" l="1"/>
  <c r="N46" i="1"/>
  <c r="N16" i="1"/>
  <c r="M36" i="1" l="1"/>
  <c r="M49" i="1" s="1"/>
  <c r="M53" i="1" s="1"/>
  <c r="M54" i="1" s="1"/>
  <c r="N31" i="1"/>
  <c r="N36" i="1" l="1"/>
  <c r="N34" i="1"/>
  <c r="N49" i="1" l="1"/>
  <c r="N53" i="1" s="1"/>
  <c r="N54" i="1" s="1"/>
  <c r="O46" i="1"/>
  <c r="O16" i="1"/>
  <c r="O31" i="1" l="1"/>
  <c r="O34" i="1" l="1"/>
  <c r="P46" i="1"/>
  <c r="P16" i="1"/>
  <c r="O36" i="1" l="1"/>
  <c r="P31" i="1"/>
  <c r="O49" i="1" l="1"/>
  <c r="O53" i="1" s="1"/>
  <c r="O54" i="1" s="1"/>
  <c r="P34" i="1"/>
  <c r="P36" i="1" l="1"/>
  <c r="Q16" i="1"/>
  <c r="Q46" i="1"/>
  <c r="P49" i="1" l="1"/>
  <c r="P53" i="1" s="1"/>
  <c r="P54" i="1" s="1"/>
  <c r="Q31" i="1"/>
  <c r="R16" i="1" l="1"/>
  <c r="R46" i="1"/>
  <c r="R31" i="1" l="1"/>
  <c r="Q34" i="1"/>
  <c r="Q36" i="1"/>
  <c r="Q49" i="1" s="1"/>
  <c r="Q53" i="1" s="1"/>
  <c r="Q54" i="1" s="1"/>
  <c r="R34" i="1" l="1"/>
  <c r="R36" i="1"/>
  <c r="R49" i="1" l="1"/>
  <c r="R53" i="1" s="1"/>
  <c r="C56" i="1" s="1"/>
  <c r="C57" i="1" s="1"/>
  <c r="S51" i="1"/>
  <c r="R54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59" i="1"/>
  <c r="G61" i="1" s="1"/>
  <c r="G64" i="1" s="1"/>
  <c r="F56" i="1" l="1"/>
  <c r="H59" i="1" s="1"/>
  <c r="H61" i="1" s="1"/>
  <c r="H64" i="1" s="1"/>
  <c r="E64" i="1" s="1"/>
  <c r="L58" i="1" s="1"/>
  <c r="J6" i="1" l="1"/>
  <c r="N5" i="1" s="1"/>
</calcChain>
</file>

<file path=xl/sharedStrings.xml><?xml version="1.0" encoding="utf-8"?>
<sst xmlns="http://schemas.openxmlformats.org/spreadsheetml/2006/main" count="320" uniqueCount="222">
  <si>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</si>
  <si>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</si>
  <si>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</si>
  <si>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</si>
  <si>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</si>
  <si>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</si>
  <si>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</si>
  <si>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</si>
  <si>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</si>
  <si>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</si>
  <si>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</si>
  <si>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</si>
  <si>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</si>
  <si>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</si>
  <si>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</si>
  <si>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</si>
  <si>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</si>
  <si>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</si>
  <si>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</si>
  <si>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</si>
  <si>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</si>
  <si>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</si>
  <si>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</si>
  <si>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</si>
  <si>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</si>
  <si>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</si>
  <si>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</si>
  <si>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</si>
  <si>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</si>
  <si>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</si>
  <si>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</si>
  <si>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</si>
  <si>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</si>
  <si>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</si>
  <si>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</si>
  <si>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</si>
  <si>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</si>
  <si>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</si>
  <si>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</si>
  <si>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</si>
  <si>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</si>
  <si>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</si>
  <si>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</si>
  <si>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</si>
  <si>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</si>
  <si>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</si>
  <si>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</si>
  <si>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</si>
  <si>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</si>
  <si>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</si>
  <si>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</si>
  <si>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/>
  </si>
  <si>
    <t>Depreciation and amortization</t>
  </si>
  <si>
    <t>Income taxes on continuing operations</t>
  </si>
  <si>
    <t>Net income (loss) from continuing operations</t>
  </si>
  <si>
    <t>Loss from discontinued operations, net of income tax</t>
  </si>
  <si>
    <t>benefit of $14, $9 and $10, respectively</t>
  </si>
  <si>
    <t>Net income (loss)</t>
  </si>
  <si>
    <t>Net income from continuing operations attributable to</t>
  </si>
  <si>
    <t>noncontrolling and redeemable noncontrolling interests</t>
  </si>
  <si>
    <t>Net income (loss) attributable to The Walt Disney</t>
  </si>
  <si>
    <t>Company (Disney)</t>
  </si>
  <si>
    <t>Earnings (loss) per share attributable to Disney(1):</t>
  </si>
  <si>
    <t>Diluted</t>
  </si>
  <si>
    <t>Continuing operations</t>
  </si>
  <si>
    <t>Discontinued operations</t>
  </si>
  <si>
    <t>Basic</t>
  </si>
  <si>
    <t>Weighted average number of common and common equivalent</t>
  </si>
  <si>
    <t>shares outstanding:</t>
  </si>
  <si>
    <t>OPERATING ACTIVITIES</t>
  </si>
  <si>
    <t>Deferred income taxes</t>
  </si>
  <si>
    <t>Other, net</t>
  </si>
  <si>
    <t>Income taxes</t>
  </si>
  <si>
    <t>operations</t>
  </si>
  <si>
    <t>INVESTING ACTIVITIES</t>
  </si>
  <si>
    <t>FINANCING ACTIVITIES</t>
  </si>
  <si>
    <t>Borrowings</t>
  </si>
  <si>
    <t>Reduction of borrowings</t>
  </si>
  <si>
    <t>Dividends</t>
  </si>
  <si>
    <t>Proceeds from exercise of stock options</t>
  </si>
  <si>
    <t>Acquisition of redeemable noncontrolling interests</t>
  </si>
  <si>
    <t>Cash provided by (used in) financing activities -</t>
  </si>
  <si>
    <t>continuing operations</t>
  </si>
  <si>
    <t>CASH FLOWS FROM DISCONTINUED OPERATIONS</t>
  </si>
  <si>
    <t>Cash provided by operations - discontinued</t>
  </si>
  <si>
    <t>Cash provided by investing activities -</t>
  </si>
  <si>
    <t>discontinued operations</t>
  </si>
  <si>
    <t>Cash used in financing activities - discontinued</t>
  </si>
  <si>
    <t>Cash (used in) provided by discontinued operations</t>
  </si>
  <si>
    <t>Impact of exchange rates on cash, cash equivalents</t>
  </si>
  <si>
    <t>and restricted cash</t>
  </si>
  <si>
    <t>Change in cash, cash equivalents and restricted</t>
  </si>
  <si>
    <t>cash</t>
  </si>
  <si>
    <t>Cash, cash equivalents and restricted cash,</t>
  </si>
  <si>
    <t>beginning of year</t>
  </si>
  <si>
    <t>Cash, cash equivalents and restricted cash, end of</t>
  </si>
  <si>
    <t>year</t>
  </si>
  <si>
    <t>Supplemental disclosure of cash flow information:</t>
  </si>
  <si>
    <t>Interest paid</t>
  </si>
  <si>
    <t>Income taxes paid</t>
  </si>
  <si>
    <t>Income taxes from continuing operations</t>
  </si>
  <si>
    <t>Net income from continuing operations</t>
  </si>
  <si>
    <t>Income from discontinued operations (includes</t>
  </si>
  <si>
    <t>income tax expense of $35, $0 and $0,</t>
  </si>
  <si>
    <t>respectively)</t>
  </si>
  <si>
    <t>Less: Net income from continuing operations</t>
  </si>
  <si>
    <t>attributable to noncontrolling and redeemable</t>
  </si>
  <si>
    <t>noncontrolling interests</t>
  </si>
  <si>
    <t>Less: Net income from discontinued operations</t>
  </si>
  <si>
    <t>attributable to noncontrolling interests</t>
  </si>
  <si>
    <t>Net income attributable to The Walt Disney</t>
  </si>
  <si>
    <t>Earnings per share attributable to Disney:</t>
  </si>
  <si>
    <t>Diluted(1)</t>
  </si>
  <si>
    <t>Basic(1)</t>
  </si>
  <si>
    <t>Weighted average number of common and common</t>
  </si>
  <si>
    <t>equivalent shares outstanding:</t>
  </si>
  <si>
    <t>Other</t>
  </si>
  <si>
    <t>Commercial paper borrowings/(payments),</t>
  </si>
  <si>
    <t>net</t>
  </si>
  <si>
    <t>Repurchases of common stock</t>
  </si>
  <si>
    <t>Contributions from / sales of</t>
  </si>
  <si>
    <t>Acquisition of noncontrolling and</t>
  </si>
  <si>
    <t>redeemable noncontrolling interests</t>
  </si>
  <si>
    <t>Cash used in financing activities -</t>
  </si>
  <si>
    <t>Cash provided by operations -</t>
  </si>
  <si>
    <t>Cash used in discontinued operations</t>
  </si>
  <si>
    <t>Impact of exchange rates on cash, cash</t>
  </si>
  <si>
    <t>equivalents and restricted cash</t>
  </si>
  <si>
    <t>Change in cash, cash equivalents and</t>
  </si>
  <si>
    <t>restricted cash</t>
  </si>
  <si>
    <t>Cash, cash equivalents and restricted</t>
  </si>
  <si>
    <t>cash, beginning of year</t>
  </si>
  <si>
    <t>cash, end of year</t>
  </si>
  <si>
    <t>Supplemental disclosure of cash flow</t>
  </si>
  <si>
    <t>information:</t>
  </si>
  <si>
    <t>Other income</t>
  </si>
  <si>
    <t>Disney DCF</t>
  </si>
  <si>
    <t>Terminal Growth Rate</t>
  </si>
  <si>
    <t>CONSOLIDATED STATEMENTS OF INCOME - USD ($) shares in Millions, $ in Millions</t>
  </si>
  <si>
    <t>12 Months Ended</t>
  </si>
  <si>
    <t>Dec. 31, 2022</t>
  </si>
  <si>
    <t>Dec. 31, 2021</t>
  </si>
  <si>
    <t>Dec. 31, 2020</t>
  </si>
  <si>
    <t>Net Operating Revenues</t>
  </si>
  <si>
    <t>Cost of goods sold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</si>
  <si>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</si>
  <si>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</si>
  <si>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</si>
  <si>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</si>
  <si>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</si>
  <si>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 — net</t>
  </si>
  <si>
    <t>Other income (loss) — net</t>
  </si>
  <si>
    <t>Income Before Income Taxes</t>
  </si>
  <si>
    <t>Consolidated Net Income</t>
  </si>
  <si>
    <t>Net Income (Loss) Attributable to Noncontrolling Interest</t>
  </si>
  <si>
    <t>Net Income Attributable to Shareowners of The Coca-Cola Company</t>
  </si>
  <si>
    <t>Basic Net Income Per Share1</t>
  </si>
  <si>
    <t>Diluted Net Income Per Share1</t>
  </si>
  <si>
    <t>Average Shares Outstanding — Basic</t>
  </si>
  <si>
    <t>Effect of dilutive securities</t>
  </si>
  <si>
    <t>Average Shares Outstanding — Diluted</t>
  </si>
  <si>
    <t>CONSOLIDATED STATEMENTS OF CASH FLOWS - USD ($) $ in Millions</t>
  </si>
  <si>
    <t> </t>
  </si>
  <si>
    <t>Stock-based compensation expense</t>
  </si>
  <si>
    <t>Equity (income) loss — net of dividends</t>
  </si>
  <si>
    <t>Foreign currency adjustments</t>
  </si>
  <si>
    <t>Significant (gains) losses — net</t>
  </si>
  <si>
    <t>Other items</t>
  </si>
  <si>
    <t>Net change in operating assets and liabilities</t>
  </si>
  <si>
    <t>Net Cash Provided by Operating Activities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</si>
  <si>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</si>
  <si>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</si>
  <si>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</si>
  <si>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nonmarketable securities</t>
  </si>
  <si>
    <t>Purchases of property, plant and equipment</t>
  </si>
  <si>
    <t>Proceeds from disposals of property, plant and equipment</t>
  </si>
  <si>
    <t>Collateral (paid) received associated with hedging activities — net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</si>
  <si>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</si>
  <si>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</si>
  <si>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</si>
  <si>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</si>
  <si>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</si>
  <si>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</si>
  <si>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Other financing activities</t>
  </si>
  <si>
    <t>Net Cash Provided by (Used in) Financing Activities</t>
  </si>
  <si>
    <t>CASH AND CASH EQUIVALENTS</t>
  </si>
  <si>
    <t>Effect of Exchange Rate Changes on Cash, Cash Equivalents, Restricted Cash, and Restricted Cash Equivalents</t>
  </si>
  <si>
    <t>Net increase (decrease) in cash, cash equivalents, restricted cash and restricted cash equivalents during the year</t>
  </si>
  <si>
    <t>Cash, cash equivalents, restricted cash and restricted cash equivalents at beginning of year</t>
  </si>
  <si>
    <t>Cash, Cash Equivalents, Restricted Cash and Restricted Cash Equivalents at End of Year</t>
  </si>
  <si>
    <t>Restricted Cash and Restricted Cash Equivalents</t>
  </si>
  <si>
    <t>Cash and cash equivalents</t>
  </si>
  <si>
    <t>Dec. 31, 2019</t>
  </si>
  <si>
    <t>Dec. 31, 2018</t>
  </si>
  <si>
    <t>Dec. 31, 2017</t>
  </si>
  <si>
    <t>Revenues</t>
  </si>
  <si>
    <t>Cost of Goods and Services Sold</t>
  </si>
  <si>
    <t>GROSS PROFIT</t>
  </si>
  <si>
    <t>Selling, General and Administrative Expense</t>
  </si>
  <si>
    <t>Other Cost and Expense, Operating</t>
  </si>
  <si>
    <t>OPERATING INCOME</t>
  </si>
  <si>
    <t>Equity income (loss) - net</t>
  </si>
  <si>
    <t>Other income (loss) - net</t>
  </si>
  <si>
    <t>INCOME BEFORE INCOME TAXES</t>
  </si>
  <si>
    <t>CONSOLIDATED NET INCOME</t>
  </si>
  <si>
    <t>NET INCOME ATTRIBUTABLE TO SHAREOWNERS OF THE COCA-COLA COMPANY</t>
  </si>
  <si>
    <t>BASIC NET INCOME PER SHARE (in dollars per share)</t>
  </si>
  <si>
    <t>DILUTED NET INCOME PER SHARE (in dollars per share)</t>
  </si>
  <si>
    <t>AVERAGE SHARES OUTSTANDING (in shares)</t>
  </si>
  <si>
    <t>Effect of dilutive securities (in shares)</t>
  </si>
  <si>
    <t>AVERAGE SHARES OUTSTANDING ASSUMING DILUTION (in shares)</t>
  </si>
  <si>
    <t>Equity (income) loss - net of dividends</t>
  </si>
  <si>
    <t>Significant (gains) losses on sales of assets - net</t>
  </si>
  <si>
    <t>Net cash provided by operating activities</t>
  </si>
  <si>
    <t>Proceeds from disposals of businesses, equity method investments and nonmarkatable securities</t>
  </si>
  <si>
    <t>Net cash provided by (used in) investing activities</t>
  </si>
  <si>
    <t>Net cash provided by (used in) financing activities</t>
  </si>
  <si>
    <t>EFFECT OF EXCHANGE RATE CHANGES ON CASH AND CASH EQUIVALENTS</t>
  </si>
  <si>
    <t>Cash, Cash Equivalents, Restricted Cash and Restricted Cash Equivalents at the Beginning of the Year</t>
  </si>
  <si>
    <t>Cash, Cash Equivalents, Restricted Cash and Restricted Cash Equivalents at the End of the Year</t>
  </si>
  <si>
    <t>Restricted Cash and Restricted Cash Equivalents not included in Cash and Cash Equivalents on Balance Sheet</t>
  </si>
  <si>
    <t>Update: 26/09/2023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</si>
</sst>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 &quot;#,##0_);_(&quot;$ &quot;\(#,##0\)"/>
    <numFmt numFmtId="169" formatCode="_(&quot;$ &quot;#,##0.00_);_(&quot;$ &quot;\(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9" fontId="7" fillId="11" borderId="3" xfId="0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168" fontId="12" fillId="0" borderId="0" xfId="0" applyNumberFormat="1" applyFont="1" applyAlignment="1">
      <alignment horizontal="right" vertical="top"/>
    </xf>
    <xf numFmtId="37" fontId="12" fillId="0" borderId="0" xfId="0" applyNumberFormat="1" applyFont="1" applyAlignment="1">
      <alignment horizontal="right" vertical="top"/>
    </xf>
    <xf numFmtId="169" fontId="12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top" wrapText="1"/>
    </xf>
    <xf numFmtId="0" fontId="7" fillId="2" borderId="0" xfId="1" applyNumberFormat="1" applyFont="1" applyFill="1"/>
    <xf numFmtId="3" fontId="3" fillId="2" borderId="0" xfId="1" applyNumberFormat="1" applyFont="1" applyFill="1"/>
    <xf numFmtId="1" fontId="7" fillId="2" borderId="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topLeftCell="C1" zoomScaleNormal="100" workbookViewId="0">
      <selection activeCell="H4" sqref="H4"/>
    </sheetView>
  </sheetViews>
  <sheetFormatPr defaultRowHeight="15" x14ac:dyDescent="0.25"/>
  <cols>
    <col min="1" max="1" width="9.140625" style="2"/>
    <col min="2" max="2" width="17.28515625" style="2" customWidth="1"/>
    <col min="3" max="3" width="10.71093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136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7.1444969920855986E-2</v>
      </c>
      <c r="F5" s="2"/>
      <c r="G5" s="1"/>
      <c r="H5" s="1" t="s">
        <v>2</v>
      </c>
      <c r="I5" s="1"/>
      <c r="J5" s="7">
        <v>56.5</v>
      </c>
      <c r="K5" s="1"/>
      <c r="L5" s="1" t="s">
        <v>3</v>
      </c>
      <c r="M5" s="1"/>
      <c r="N5" s="7">
        <f>(J6/J5)-1</f>
        <v>0.10511654872388854</v>
      </c>
      <c r="O5" s="1"/>
      <c r="P5" s="1" t="s">
        <v>221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60">
        <f>E64</f>
        <v>62.439085002899702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IS'!G3</f>
        <v>36212</v>
      </c>
      <c r="D11" s="11">
        <f>'Raw IS'!H3</f>
        <v>34300</v>
      </c>
      <c r="E11" s="11">
        <f>'Raw IS'!I3</f>
        <v>37266</v>
      </c>
      <c r="F11" s="11">
        <f>'Raw IS'!B3</f>
        <v>33014</v>
      </c>
      <c r="G11" s="11">
        <f>'Raw IS'!C3</f>
        <v>38655</v>
      </c>
      <c r="H11" s="11">
        <f>'Raw IS'!D3</f>
        <v>43004</v>
      </c>
      <c r="I11" s="20">
        <v>45010</v>
      </c>
      <c r="J11" s="18">
        <v>47310</v>
      </c>
      <c r="K11" s="18">
        <v>49830</v>
      </c>
      <c r="L11" s="18">
        <v>52280</v>
      </c>
      <c r="M11" s="18">
        <v>55880</v>
      </c>
      <c r="N11" s="18">
        <v>56950</v>
      </c>
      <c r="O11" s="18">
        <v>59440</v>
      </c>
      <c r="P11" s="18">
        <v>62160</v>
      </c>
      <c r="Q11" s="18">
        <v>65020</v>
      </c>
      <c r="R11" s="18">
        <v>68190</v>
      </c>
    </row>
    <row r="12" spans="1:18" s="53" customFormat="1" x14ac:dyDescent="0.25">
      <c r="A12" s="1"/>
      <c r="B12" s="82" t="s">
        <v>8</v>
      </c>
      <c r="C12" s="83"/>
      <c r="D12" s="83">
        <f>(D11/C11)-1</f>
        <v>-5.2800176736993221E-2</v>
      </c>
      <c r="E12" s="83">
        <f>(E11/D11)-1</f>
        <v>8.647230320699717E-2</v>
      </c>
      <c r="F12" s="83">
        <f>(F11/E11)-1</f>
        <v>-0.11409864219395693</v>
      </c>
      <c r="G12" s="83">
        <f>(G11/F11)-1</f>
        <v>0.17086690494941537</v>
      </c>
      <c r="H12" s="83">
        <f>(H11/G11)-1</f>
        <v>0.11250808433579107</v>
      </c>
      <c r="I12" s="83">
        <f t="shared" ref="I12:R12" si="1">(I11/H11)-1</f>
        <v>4.6646823551297567E-2</v>
      </c>
      <c r="J12" s="83">
        <f t="shared" si="1"/>
        <v>5.1099755609864461E-2</v>
      </c>
      <c r="K12" s="83">
        <f t="shared" si="1"/>
        <v>5.3265694356372961E-2</v>
      </c>
      <c r="L12" s="83">
        <f t="shared" si="1"/>
        <v>4.9167168372466374E-2</v>
      </c>
      <c r="M12" s="83">
        <f t="shared" si="1"/>
        <v>6.8859984697781096E-2</v>
      </c>
      <c r="N12" s="83">
        <f t="shared" si="1"/>
        <v>1.9148174659985751E-2</v>
      </c>
      <c r="O12" s="83">
        <f t="shared" si="1"/>
        <v>4.3722563652326629E-2</v>
      </c>
      <c r="P12" s="83">
        <f t="shared" si="1"/>
        <v>4.5760430686406561E-2</v>
      </c>
      <c r="Q12" s="83">
        <f t="shared" si="1"/>
        <v>4.6010296010295937E-2</v>
      </c>
      <c r="R12" s="83">
        <f t="shared" si="1"/>
        <v>4.8754229467856014E-2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78"/>
      <c r="K13" s="78"/>
      <c r="L13" s="78"/>
      <c r="M13" s="78"/>
      <c r="N13" s="78"/>
      <c r="O13" s="78"/>
      <c r="P13" s="78"/>
      <c r="Q13" s="78"/>
      <c r="R13" s="78"/>
    </row>
    <row r="14" spans="1:18" s="53" customFormat="1" x14ac:dyDescent="0.25">
      <c r="A14" s="1"/>
      <c r="B14" s="1" t="s">
        <v>9</v>
      </c>
      <c r="C14" s="11">
        <f>'Raw IS'!G4</f>
        <v>13721</v>
      </c>
      <c r="D14" s="11">
        <f>'Raw IS'!H4</f>
        <v>13067</v>
      </c>
      <c r="E14" s="11">
        <f>'Raw IS'!I4</f>
        <v>14619</v>
      </c>
      <c r="F14" s="11">
        <f>'Raw IS'!B4</f>
        <v>13433</v>
      </c>
      <c r="G14" s="11">
        <f>'Raw IS'!C4</f>
        <v>15357</v>
      </c>
      <c r="H14" s="11">
        <f>'Raw IS'!D4</f>
        <v>18000</v>
      </c>
      <c r="I14" s="79">
        <f>I11-I16</f>
        <v>18427.094000000001</v>
      </c>
      <c r="J14" s="79">
        <f t="shared" ref="J14:R14" si="2">J11-J16</f>
        <v>19141.625999999997</v>
      </c>
      <c r="K14" s="79">
        <f t="shared" si="2"/>
        <v>19971.864000000001</v>
      </c>
      <c r="L14" s="79">
        <f t="shared" si="2"/>
        <v>20849.264000000003</v>
      </c>
      <c r="M14" s="79">
        <f t="shared" si="2"/>
        <v>22173.184000000001</v>
      </c>
      <c r="N14" s="79">
        <f t="shared" si="2"/>
        <v>22483.86</v>
      </c>
      <c r="O14" s="79">
        <f t="shared" si="2"/>
        <v>23348.031999999999</v>
      </c>
      <c r="P14" s="79">
        <f t="shared" si="2"/>
        <v>24292.128000000004</v>
      </c>
      <c r="Q14" s="79">
        <f t="shared" si="2"/>
        <v>25279.776000000005</v>
      </c>
      <c r="R14" s="79">
        <f t="shared" si="2"/>
        <v>26375.892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3" customFormat="1" x14ac:dyDescent="0.25">
      <c r="A16" s="1"/>
      <c r="B16" s="1" t="s">
        <v>10</v>
      </c>
      <c r="C16" s="11">
        <f>C11-C14</f>
        <v>22491</v>
      </c>
      <c r="D16" s="11">
        <f t="shared" ref="D16:H16" si="3">D11-D14</f>
        <v>21233</v>
      </c>
      <c r="E16" s="11">
        <f t="shared" si="3"/>
        <v>22647</v>
      </c>
      <c r="F16" s="11">
        <f t="shared" si="3"/>
        <v>19581</v>
      </c>
      <c r="G16" s="11">
        <f t="shared" si="3"/>
        <v>23298</v>
      </c>
      <c r="H16" s="11">
        <f t="shared" si="3"/>
        <v>25004</v>
      </c>
      <c r="I16" s="20">
        <f>I11*I17</f>
        <v>26582.905999999999</v>
      </c>
      <c r="J16" s="18">
        <f t="shared" ref="J16:R16" si="4">J11*J17</f>
        <v>28168.374000000003</v>
      </c>
      <c r="K16" s="18">
        <f>K11*K17</f>
        <v>29858.135999999999</v>
      </c>
      <c r="L16" s="18">
        <f t="shared" si="4"/>
        <v>31430.735999999997</v>
      </c>
      <c r="M16" s="18">
        <f t="shared" si="4"/>
        <v>33706.815999999999</v>
      </c>
      <c r="N16" s="18">
        <f t="shared" si="4"/>
        <v>34466.14</v>
      </c>
      <c r="O16" s="18">
        <f t="shared" si="4"/>
        <v>36091.968000000001</v>
      </c>
      <c r="P16" s="18">
        <f t="shared" si="4"/>
        <v>37867.871999999996</v>
      </c>
      <c r="Q16" s="18">
        <f t="shared" si="4"/>
        <v>39740.223999999995</v>
      </c>
      <c r="R16" s="18">
        <f t="shared" si="4"/>
        <v>41814.108</v>
      </c>
    </row>
    <row r="17" spans="1:18" s="53" customFormat="1" x14ac:dyDescent="0.25">
      <c r="A17" s="1"/>
      <c r="B17" s="82" t="s">
        <v>11</v>
      </c>
      <c r="C17" s="83">
        <f t="shared" ref="C17:H17" si="5">C16/C11</f>
        <v>0.62109245553960013</v>
      </c>
      <c r="D17" s="83">
        <f t="shared" si="5"/>
        <v>0.61903790087463562</v>
      </c>
      <c r="E17" s="83">
        <f t="shared" si="5"/>
        <v>0.60771212365158589</v>
      </c>
      <c r="F17" s="83">
        <f t="shared" si="5"/>
        <v>0.59311201308535777</v>
      </c>
      <c r="G17" s="83">
        <f t="shared" si="5"/>
        <v>0.60271633682576642</v>
      </c>
      <c r="H17" s="83">
        <f t="shared" si="5"/>
        <v>0.58143428518277374</v>
      </c>
      <c r="I17" s="88">
        <v>0.59060000000000001</v>
      </c>
      <c r="J17" s="89">
        <v>0.59540000000000004</v>
      </c>
      <c r="K17" s="89">
        <v>0.59919999999999995</v>
      </c>
      <c r="L17" s="89">
        <f>K17+0.2%</f>
        <v>0.60119999999999996</v>
      </c>
      <c r="M17" s="89">
        <f t="shared" ref="M17:R17" si="6">L17+0.2%</f>
        <v>0.60319999999999996</v>
      </c>
      <c r="N17" s="89">
        <f t="shared" si="6"/>
        <v>0.60519999999999996</v>
      </c>
      <c r="O17" s="89">
        <f t="shared" si="6"/>
        <v>0.60719999999999996</v>
      </c>
      <c r="P17" s="89">
        <f t="shared" si="6"/>
        <v>0.60919999999999996</v>
      </c>
      <c r="Q17" s="89">
        <f t="shared" si="6"/>
        <v>0.61119999999999997</v>
      </c>
      <c r="R17" s="89">
        <f t="shared" si="6"/>
        <v>0.61319999999999997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3" customFormat="1" x14ac:dyDescent="0.25">
      <c r="A19" s="1"/>
      <c r="B19" s="1" t="s">
        <v>39</v>
      </c>
      <c r="C19" s="11">
        <f>'Raw IS'!G6</f>
        <v>12834</v>
      </c>
      <c r="D19" s="11">
        <f>'Raw IS'!H6</f>
        <v>11002</v>
      </c>
      <c r="E19" s="11">
        <f>'Raw IS'!I6</f>
        <v>12103</v>
      </c>
      <c r="F19" s="11">
        <f>'Raw IS'!B6</f>
        <v>9731</v>
      </c>
      <c r="G19" s="11">
        <f>'Raw IS'!C6</f>
        <v>12144</v>
      </c>
      <c r="H19" s="11">
        <f>'Raw IS'!D6</f>
        <v>12880</v>
      </c>
      <c r="I19" s="20">
        <v>12322.707194362207</v>
      </c>
      <c r="J19" s="20">
        <v>12508.012641358489</v>
      </c>
      <c r="K19" s="20">
        <v>13186.133147616614</v>
      </c>
      <c r="L19" s="20">
        <v>13513.49270521461</v>
      </c>
      <c r="M19" s="20">
        <v>14113.131612628589</v>
      </c>
      <c r="N19" s="20">
        <v>14138.05485633203</v>
      </c>
      <c r="O19" s="20">
        <v>14550.90087548776</v>
      </c>
      <c r="P19" s="20">
        <v>15058.090908832914</v>
      </c>
      <c r="Q19" s="20">
        <v>15768.519696346219</v>
      </c>
      <c r="R19" s="20">
        <v>16677.978789641718</v>
      </c>
    </row>
    <row r="20" spans="1:18" s="53" customFormat="1" x14ac:dyDescent="0.25">
      <c r="A20" s="1"/>
      <c r="B20" s="82" t="s">
        <v>16</v>
      </c>
      <c r="C20" s="83">
        <f t="shared" ref="C20:R20" si="7">C19/C11</f>
        <v>0.35441290180050811</v>
      </c>
      <c r="D20" s="83">
        <f t="shared" si="7"/>
        <v>0.32075801749271138</v>
      </c>
      <c r="E20" s="83">
        <f t="shared" si="7"/>
        <v>0.32477325175763433</v>
      </c>
      <c r="F20" s="83">
        <f t="shared" si="7"/>
        <v>0.29475374083722056</v>
      </c>
      <c r="G20" s="83">
        <f t="shared" si="7"/>
        <v>0.31416375630578192</v>
      </c>
      <c r="H20" s="83">
        <f t="shared" si="7"/>
        <v>0.29950702260254858</v>
      </c>
      <c r="I20" s="83">
        <v>0.27377709829731628</v>
      </c>
      <c r="J20" s="83">
        <v>0.26438411839692433</v>
      </c>
      <c r="K20" s="83">
        <v>0.26462237904107194</v>
      </c>
      <c r="L20" s="83">
        <v>0.25848302802629325</v>
      </c>
      <c r="M20" s="83">
        <v>0.25256141039063329</v>
      </c>
      <c r="N20" s="83">
        <v>0.24825381661689253</v>
      </c>
      <c r="O20" s="83">
        <v>0.24479981284467967</v>
      </c>
      <c r="P20" s="83">
        <v>0.24224727974312923</v>
      </c>
      <c r="Q20" s="83">
        <v>0.24251798979308242</v>
      </c>
      <c r="R20" s="83">
        <v>0.24458100586070858</v>
      </c>
    </row>
    <row r="21" spans="1:18" s="53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77"/>
      <c r="K21" s="77"/>
      <c r="L21" s="77"/>
      <c r="M21" s="77"/>
      <c r="N21" s="77"/>
      <c r="O21" s="77"/>
      <c r="P21" s="77"/>
      <c r="Q21" s="77"/>
      <c r="R21" s="77"/>
    </row>
    <row r="22" spans="1:18" s="53" customFormat="1" x14ac:dyDescent="0.25">
      <c r="A22" s="1"/>
      <c r="B22" s="1" t="s">
        <v>116</v>
      </c>
      <c r="C22" s="101">
        <f>'Raw IS'!G7</f>
        <v>1902</v>
      </c>
      <c r="D22" s="101">
        <f>'Raw IS'!H7</f>
        <v>1079</v>
      </c>
      <c r="E22" s="101">
        <f>'Raw IS'!I7</f>
        <v>458</v>
      </c>
      <c r="F22" s="101">
        <f>'Raw IS'!B7</f>
        <v>853</v>
      </c>
      <c r="G22" s="101">
        <f>'Raw IS'!C7</f>
        <v>846</v>
      </c>
      <c r="H22" s="101">
        <f>'Raw IS'!D7</f>
        <v>1215</v>
      </c>
      <c r="I22" s="103">
        <v>1162.4292889091676</v>
      </c>
      <c r="J22" s="103">
        <v>1179.9095775815654</v>
      </c>
      <c r="K22" s="103">
        <v>1243.87824335048</v>
      </c>
      <c r="L22" s="103">
        <v>1274.7588227356948</v>
      </c>
      <c r="M22" s="103">
        <v>1331.324138924203</v>
      </c>
      <c r="N22" s="103">
        <v>1333.675205779768</v>
      </c>
      <c r="O22" s="103">
        <v>1372.6199195432939</v>
      </c>
      <c r="P22" s="103">
        <v>1420.4643209807443</v>
      </c>
      <c r="Q22" s="103">
        <v>1487.4807011693053</v>
      </c>
      <c r="R22" s="103">
        <v>1573.2720675011401</v>
      </c>
    </row>
    <row r="23" spans="1:18" s="53" customFormat="1" x14ac:dyDescent="0.25">
      <c r="A23" s="1"/>
      <c r="B23" s="82" t="s">
        <v>16</v>
      </c>
      <c r="C23" s="83">
        <f>C22/C11</f>
        <v>5.2524025185021542E-2</v>
      </c>
      <c r="D23" s="83">
        <f t="shared" ref="D23:I23" si="8">D22/D11</f>
        <v>3.1457725947521865E-2</v>
      </c>
      <c r="E23" s="83">
        <f t="shared" si="8"/>
        <v>1.2290023077335909E-2</v>
      </c>
      <c r="F23" s="83">
        <f t="shared" si="8"/>
        <v>2.5837523474889441E-2</v>
      </c>
      <c r="G23" s="83">
        <f t="shared" si="8"/>
        <v>2.1885913853317812E-2</v>
      </c>
      <c r="H23" s="83">
        <f t="shared" si="8"/>
        <v>2.8253185750162776E-2</v>
      </c>
      <c r="I23" s="83">
        <v>2.5826022859568264E-2</v>
      </c>
      <c r="J23" s="83">
        <v>2.4939961479212965E-2</v>
      </c>
      <c r="K23" s="83">
        <v>2.4962437153330925E-2</v>
      </c>
      <c r="L23" s="83">
        <v>2.4383298063039304E-2</v>
      </c>
      <c r="M23" s="83">
        <v>2.3824698262781014E-2</v>
      </c>
      <c r="N23" s="83">
        <v>2.3418353042664933E-2</v>
      </c>
      <c r="O23" s="83">
        <v>2.3092528929059452E-2</v>
      </c>
      <c r="P23" s="83">
        <v>2.2851742615520341E-2</v>
      </c>
      <c r="Q23" s="83">
        <v>2.2877279316661111E-2</v>
      </c>
      <c r="R23" s="83">
        <v>2.3071888363413111E-2</v>
      </c>
    </row>
    <row r="24" spans="1:18" s="53" customFormat="1" x14ac:dyDescent="0.25">
      <c r="A24" s="1"/>
      <c r="B24" s="13"/>
      <c r="C24" s="11"/>
      <c r="D24" s="11"/>
      <c r="E24" s="11"/>
      <c r="F24" s="11"/>
      <c r="G24" s="11"/>
      <c r="H24" s="11"/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3" customFormat="1" x14ac:dyDescent="0.25">
      <c r="A25" s="1"/>
      <c r="B25" s="1" t="s">
        <v>12</v>
      </c>
      <c r="C25" s="11">
        <f>C19+C22</f>
        <v>14736</v>
      </c>
      <c r="D25" s="11">
        <f t="shared" ref="D25:R25" si="9">D19+D22</f>
        <v>12081</v>
      </c>
      <c r="E25" s="11">
        <f t="shared" si="9"/>
        <v>12561</v>
      </c>
      <c r="F25" s="11">
        <f t="shared" si="9"/>
        <v>10584</v>
      </c>
      <c r="G25" s="11">
        <f t="shared" si="9"/>
        <v>12990</v>
      </c>
      <c r="H25" s="11">
        <f t="shared" si="9"/>
        <v>14095</v>
      </c>
      <c r="I25" s="11">
        <f t="shared" si="9"/>
        <v>13485.136483271373</v>
      </c>
      <c r="J25" s="11">
        <f t="shared" si="9"/>
        <v>13687.922218940055</v>
      </c>
      <c r="K25" s="11">
        <f t="shared" si="9"/>
        <v>14430.011390967094</v>
      </c>
      <c r="L25" s="11">
        <f t="shared" si="9"/>
        <v>14788.251527950306</v>
      </c>
      <c r="M25" s="11">
        <f t="shared" si="9"/>
        <v>15444.455751552792</v>
      </c>
      <c r="N25" s="11">
        <f t="shared" si="9"/>
        <v>15471.730062111797</v>
      </c>
      <c r="O25" s="11">
        <f t="shared" si="9"/>
        <v>15923.520795031054</v>
      </c>
      <c r="P25" s="11">
        <f t="shared" si="9"/>
        <v>16478.555229813657</v>
      </c>
      <c r="Q25" s="11">
        <f t="shared" si="9"/>
        <v>17256.000397515523</v>
      </c>
      <c r="R25" s="11">
        <f t="shared" si="9"/>
        <v>18251.250857142859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7"/>
      <c r="K26" s="77"/>
      <c r="L26" s="77"/>
      <c r="M26" s="77"/>
      <c r="N26" s="77"/>
      <c r="O26" s="77"/>
      <c r="P26" s="77"/>
      <c r="Q26" s="77"/>
      <c r="R26" s="77"/>
    </row>
    <row r="27" spans="1:18" s="53" customFormat="1" x14ac:dyDescent="0.25">
      <c r="A27" s="1"/>
      <c r="B27" s="1" t="s">
        <v>13</v>
      </c>
      <c r="C27" s="11">
        <f>C16-C25</f>
        <v>7755</v>
      </c>
      <c r="D27" s="11">
        <f t="shared" ref="D27:H27" si="10">D16-D25</f>
        <v>9152</v>
      </c>
      <c r="E27" s="11">
        <f t="shared" si="10"/>
        <v>10086</v>
      </c>
      <c r="F27" s="11">
        <f t="shared" si="10"/>
        <v>8997</v>
      </c>
      <c r="G27" s="11">
        <f t="shared" si="10"/>
        <v>10308</v>
      </c>
      <c r="H27" s="11">
        <f t="shared" si="10"/>
        <v>10909</v>
      </c>
      <c r="I27" s="39">
        <f>I16-I25</f>
        <v>13097.769516728626</v>
      </c>
      <c r="J27" s="39">
        <f t="shared" ref="J27:R27" si="11">J16-J25</f>
        <v>14480.451781059948</v>
      </c>
      <c r="K27" s="39">
        <f t="shared" si="11"/>
        <v>15428.124609032904</v>
      </c>
      <c r="L27" s="39">
        <f t="shared" si="11"/>
        <v>16642.484472049691</v>
      </c>
      <c r="M27" s="39">
        <f t="shared" si="11"/>
        <v>18262.360248447207</v>
      </c>
      <c r="N27" s="39">
        <f t="shared" si="11"/>
        <v>18994.409937888202</v>
      </c>
      <c r="O27" s="39">
        <f t="shared" si="11"/>
        <v>20168.447204968947</v>
      </c>
      <c r="P27" s="39">
        <f t="shared" si="11"/>
        <v>21389.316770186339</v>
      </c>
      <c r="Q27" s="39">
        <f t="shared" si="11"/>
        <v>22484.223602484471</v>
      </c>
      <c r="R27" s="39">
        <f t="shared" si="11"/>
        <v>23562.857142857141</v>
      </c>
    </row>
    <row r="28" spans="1:18" s="53" customFormat="1" x14ac:dyDescent="0.25">
      <c r="A28" s="1"/>
      <c r="B28" s="1" t="s">
        <v>135</v>
      </c>
      <c r="C28" s="102">
        <v>-865</v>
      </c>
      <c r="D28" s="102">
        <v>-927</v>
      </c>
      <c r="E28" s="102">
        <v>700</v>
      </c>
      <c r="F28" s="102">
        <v>752</v>
      </c>
      <c r="G28" s="102">
        <v>2117</v>
      </c>
      <c r="H28" s="102">
        <v>777</v>
      </c>
      <c r="I28" s="20">
        <f t="shared" ref="I28:R28" si="12">I29*I11</f>
        <v>450.1</v>
      </c>
      <c r="J28" s="18">
        <f t="shared" si="12"/>
        <v>473.1</v>
      </c>
      <c r="K28" s="18">
        <f t="shared" si="12"/>
        <v>498.3</v>
      </c>
      <c r="L28" s="18">
        <f t="shared" si="12"/>
        <v>522.79999999999995</v>
      </c>
      <c r="M28" s="18">
        <f t="shared" si="12"/>
        <v>558.80000000000007</v>
      </c>
      <c r="N28" s="18">
        <f t="shared" si="12"/>
        <v>569.5</v>
      </c>
      <c r="O28" s="18">
        <f t="shared" si="12"/>
        <v>594.4</v>
      </c>
      <c r="P28" s="18">
        <f t="shared" si="12"/>
        <v>621.6</v>
      </c>
      <c r="Q28" s="18">
        <f t="shared" si="12"/>
        <v>650.20000000000005</v>
      </c>
      <c r="R28" s="18">
        <f t="shared" si="12"/>
        <v>681.9</v>
      </c>
    </row>
    <row r="29" spans="1:18" s="53" customFormat="1" x14ac:dyDescent="0.25">
      <c r="A29" s="1"/>
      <c r="B29" s="82" t="s">
        <v>16</v>
      </c>
      <c r="C29" s="83">
        <f t="shared" ref="C29:H29" si="13">C28/C11</f>
        <v>-2.3887109245553959E-2</v>
      </c>
      <c r="D29" s="83">
        <f t="shared" si="13"/>
        <v>-2.7026239067055393E-2</v>
      </c>
      <c r="E29" s="83">
        <f t="shared" si="13"/>
        <v>1.8783878065797243E-2</v>
      </c>
      <c r="F29" s="83">
        <f t="shared" si="13"/>
        <v>2.2778215302598898E-2</v>
      </c>
      <c r="G29" s="83">
        <f t="shared" si="13"/>
        <v>5.4766524382356747E-2</v>
      </c>
      <c r="H29" s="83">
        <f t="shared" si="13"/>
        <v>1.8068086689610269E-2</v>
      </c>
      <c r="I29" s="86">
        <v>0.01</v>
      </c>
      <c r="J29" s="86">
        <v>0.01</v>
      </c>
      <c r="K29" s="86">
        <v>0.01</v>
      </c>
      <c r="L29" s="86">
        <v>0.01</v>
      </c>
      <c r="M29" s="86">
        <v>0.01</v>
      </c>
      <c r="N29" s="86">
        <v>0.01</v>
      </c>
      <c r="O29" s="86">
        <v>0.01</v>
      </c>
      <c r="P29" s="86">
        <v>0.01</v>
      </c>
      <c r="Q29" s="86">
        <v>0.01</v>
      </c>
      <c r="R29" s="86">
        <v>0.01</v>
      </c>
    </row>
    <row r="30" spans="1:18" s="53" customFormat="1" x14ac:dyDescent="0.25">
      <c r="A30" s="1"/>
      <c r="B30" s="1"/>
      <c r="C30" s="75"/>
      <c r="D30" s="75"/>
      <c r="E30" s="75"/>
      <c r="F30" s="75"/>
      <c r="G30" s="75"/>
      <c r="H30" s="75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3" customFormat="1" x14ac:dyDescent="0.25">
      <c r="A31" s="1"/>
      <c r="B31" s="1" t="s">
        <v>14</v>
      </c>
      <c r="C31" s="11">
        <f>C27+C28</f>
        <v>6890</v>
      </c>
      <c r="D31" s="11">
        <f t="shared" ref="D31:H31" si="14">D27+D28</f>
        <v>8225</v>
      </c>
      <c r="E31" s="11">
        <f t="shared" si="14"/>
        <v>10786</v>
      </c>
      <c r="F31" s="11">
        <f t="shared" si="14"/>
        <v>9749</v>
      </c>
      <c r="G31" s="11">
        <f t="shared" si="14"/>
        <v>12425</v>
      </c>
      <c r="H31" s="11">
        <f t="shared" si="14"/>
        <v>11686</v>
      </c>
      <c r="I31" s="39">
        <f t="shared" ref="I31:R31" si="15">I27+I28</f>
        <v>13547.869516728626</v>
      </c>
      <c r="J31" s="11">
        <f t="shared" si="15"/>
        <v>14953.551781059949</v>
      </c>
      <c r="K31" s="11">
        <f t="shared" si="15"/>
        <v>15926.424609032903</v>
      </c>
      <c r="L31" s="11">
        <f t="shared" si="15"/>
        <v>17165.284472049691</v>
      </c>
      <c r="M31" s="11">
        <f t="shared" si="15"/>
        <v>18821.160248447206</v>
      </c>
      <c r="N31" s="11">
        <f t="shared" si="15"/>
        <v>19563.909937888202</v>
      </c>
      <c r="O31" s="11">
        <f t="shared" si="15"/>
        <v>20762.847204968948</v>
      </c>
      <c r="P31" s="11">
        <f t="shared" si="15"/>
        <v>22010.916770186337</v>
      </c>
      <c r="Q31" s="11">
        <f t="shared" si="15"/>
        <v>23134.423602484472</v>
      </c>
      <c r="R31" s="11">
        <f t="shared" si="15"/>
        <v>24244.757142857143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75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3" customFormat="1" x14ac:dyDescent="0.25">
      <c r="A33" s="1"/>
      <c r="B33" s="1" t="s">
        <v>15</v>
      </c>
      <c r="C33" s="11">
        <f t="shared" ref="C33:R33" si="16">C27</f>
        <v>7755</v>
      </c>
      <c r="D33" s="11">
        <f t="shared" si="16"/>
        <v>9152</v>
      </c>
      <c r="E33" s="11">
        <f t="shared" si="16"/>
        <v>10086</v>
      </c>
      <c r="F33" s="11">
        <f t="shared" si="16"/>
        <v>8997</v>
      </c>
      <c r="G33" s="11">
        <f t="shared" si="16"/>
        <v>10308</v>
      </c>
      <c r="H33" s="11">
        <f t="shared" si="16"/>
        <v>10909</v>
      </c>
      <c r="I33" s="11">
        <f t="shared" si="16"/>
        <v>13097.769516728626</v>
      </c>
      <c r="J33" s="11">
        <f t="shared" si="16"/>
        <v>14480.451781059948</v>
      </c>
      <c r="K33" s="11">
        <f t="shared" si="16"/>
        <v>15428.124609032904</v>
      </c>
      <c r="L33" s="11">
        <f t="shared" si="16"/>
        <v>16642.484472049691</v>
      </c>
      <c r="M33" s="11">
        <f t="shared" si="16"/>
        <v>18262.360248447207</v>
      </c>
      <c r="N33" s="11">
        <f t="shared" si="16"/>
        <v>18994.409937888202</v>
      </c>
      <c r="O33" s="11">
        <f t="shared" si="16"/>
        <v>20168.447204968947</v>
      </c>
      <c r="P33" s="11">
        <f t="shared" si="16"/>
        <v>21389.316770186339</v>
      </c>
      <c r="Q33" s="11">
        <f t="shared" si="16"/>
        <v>22484.223602484471</v>
      </c>
      <c r="R33" s="11">
        <f t="shared" si="16"/>
        <v>23562.857142857141</v>
      </c>
    </row>
    <row r="34" spans="1:86" s="53" customFormat="1" x14ac:dyDescent="0.25">
      <c r="A34" s="1"/>
      <c r="B34" s="82" t="s">
        <v>16</v>
      </c>
      <c r="C34" s="83">
        <f t="shared" ref="C34:R34" si="17">C33/C11</f>
        <v>0.21415552855407047</v>
      </c>
      <c r="D34" s="83">
        <f t="shared" si="17"/>
        <v>0.26682215743440235</v>
      </c>
      <c r="E34" s="83">
        <f t="shared" si="17"/>
        <v>0.27064884881661566</v>
      </c>
      <c r="F34" s="83">
        <f t="shared" si="17"/>
        <v>0.27252074877324772</v>
      </c>
      <c r="G34" s="83">
        <f t="shared" si="17"/>
        <v>0.26666666666666666</v>
      </c>
      <c r="H34" s="83">
        <f t="shared" si="17"/>
        <v>0.25367407683006232</v>
      </c>
      <c r="I34" s="84">
        <f t="shared" si="17"/>
        <v>0.29099687884311543</v>
      </c>
      <c r="J34" s="85">
        <f t="shared" si="17"/>
        <v>0.30607592012386275</v>
      </c>
      <c r="K34" s="85">
        <f t="shared" si="17"/>
        <v>0.30961518380559711</v>
      </c>
      <c r="L34" s="85">
        <f t="shared" si="17"/>
        <v>0.31833367391066741</v>
      </c>
      <c r="M34" s="85">
        <f t="shared" si="17"/>
        <v>0.32681389134658567</v>
      </c>
      <c r="N34" s="85">
        <f t="shared" si="17"/>
        <v>0.33352783034044253</v>
      </c>
      <c r="O34" s="85">
        <f t="shared" si="17"/>
        <v>0.33930765822626086</v>
      </c>
      <c r="P34" s="85">
        <f t="shared" si="17"/>
        <v>0.34410097764135034</v>
      </c>
      <c r="Q34" s="85">
        <f t="shared" si="17"/>
        <v>0.34580473089025643</v>
      </c>
      <c r="R34" s="85">
        <f t="shared" si="17"/>
        <v>0.34554710577587833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3" customFormat="1" x14ac:dyDescent="0.25">
      <c r="A36" s="1"/>
      <c r="B36" s="1" t="s">
        <v>17</v>
      </c>
      <c r="C36" s="11">
        <f>'Raw IS'!G14</f>
        <v>5607</v>
      </c>
      <c r="D36" s="11">
        <f>'Raw IS'!H14</f>
        <v>1749</v>
      </c>
      <c r="E36" s="11">
        <f>'Raw IS'!I14</f>
        <v>1801</v>
      </c>
      <c r="F36" s="11">
        <f>'Raw IS'!B14</f>
        <v>1981</v>
      </c>
      <c r="G36" s="11">
        <f>'Raw IS'!C14</f>
        <v>2621</v>
      </c>
      <c r="H36" s="11">
        <f>'Raw IS'!D14</f>
        <v>2115</v>
      </c>
      <c r="I36" s="20">
        <f>I33*I37</f>
        <v>2527.8695167286246</v>
      </c>
      <c r="J36" s="18">
        <f t="shared" ref="J36:R36" si="18">J33*J37</f>
        <v>2813.5517810599481</v>
      </c>
      <c r="K36" s="18">
        <f t="shared" si="18"/>
        <v>3096.4246090329038</v>
      </c>
      <c r="L36" s="18">
        <f t="shared" si="18"/>
        <v>3245.2844720496901</v>
      </c>
      <c r="M36" s="18">
        <f t="shared" si="18"/>
        <v>3561.1602484472055</v>
      </c>
      <c r="N36" s="18">
        <f t="shared" si="18"/>
        <v>3703.9099378881997</v>
      </c>
      <c r="O36" s="18">
        <f t="shared" si="18"/>
        <v>3932.8472049689449</v>
      </c>
      <c r="P36" s="18">
        <f t="shared" si="18"/>
        <v>4170.9167701863362</v>
      </c>
      <c r="Q36" s="18">
        <f t="shared" si="18"/>
        <v>4384.4236024844722</v>
      </c>
      <c r="R36" s="18">
        <f t="shared" si="18"/>
        <v>4594.7571428571428</v>
      </c>
    </row>
    <row r="37" spans="1:86" s="53" customFormat="1" x14ac:dyDescent="0.25">
      <c r="A37" s="1"/>
      <c r="B37" s="82" t="s">
        <v>18</v>
      </c>
      <c r="C37" s="87">
        <f>C36/C33</f>
        <v>0.72301740812379112</v>
      </c>
      <c r="D37" s="87">
        <f t="shared" ref="D37:H37" si="19">D36/D33</f>
        <v>0.19110576923076922</v>
      </c>
      <c r="E37" s="87">
        <f t="shared" si="19"/>
        <v>0.17856434661907594</v>
      </c>
      <c r="F37" s="87">
        <f t="shared" si="19"/>
        <v>0.22018450594642658</v>
      </c>
      <c r="G37" s="87">
        <f t="shared" si="19"/>
        <v>0.25426852929763288</v>
      </c>
      <c r="H37" s="87">
        <f t="shared" si="19"/>
        <v>0.19387661563846365</v>
      </c>
      <c r="I37" s="88">
        <v>0.193</v>
      </c>
      <c r="J37" s="89">
        <v>0.1943</v>
      </c>
      <c r="K37" s="89">
        <v>0.20069999999999999</v>
      </c>
      <c r="L37" s="89">
        <v>0.19500000000000001</v>
      </c>
      <c r="M37" s="89">
        <v>0.19500000000000001</v>
      </c>
      <c r="N37" s="89">
        <v>0.19500000000000001</v>
      </c>
      <c r="O37" s="89">
        <v>0.19500000000000001</v>
      </c>
      <c r="P37" s="89">
        <v>0.19500000000000001</v>
      </c>
      <c r="Q37" s="89">
        <v>0.19500000000000001</v>
      </c>
      <c r="R37" s="89">
        <v>0.19500000000000001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7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'Raw CF'!G5</f>
        <v>1260</v>
      </c>
      <c r="D40" s="11">
        <f>'Raw CF'!H5</f>
        <v>1086</v>
      </c>
      <c r="E40" s="11">
        <f>'Raw CF'!I5</f>
        <v>1365</v>
      </c>
      <c r="F40" s="11">
        <f>'Raw CF'!B5</f>
        <v>1536</v>
      </c>
      <c r="G40" s="11">
        <f>'Raw CF'!C5</f>
        <v>1452</v>
      </c>
      <c r="H40" s="11">
        <f>'Raw CF'!D5</f>
        <v>1260</v>
      </c>
      <c r="I40" s="20">
        <v>1260</v>
      </c>
      <c r="J40" s="18">
        <v>1380</v>
      </c>
      <c r="K40" s="18">
        <v>1460</v>
      </c>
      <c r="L40" s="18">
        <v>1420</v>
      </c>
      <c r="M40" s="18">
        <v>1400</v>
      </c>
      <c r="N40" s="18">
        <v>1990</v>
      </c>
      <c r="O40" s="18">
        <v>2090</v>
      </c>
      <c r="P40" s="18">
        <v>2200</v>
      </c>
      <c r="Q40" s="18">
        <v>2240</v>
      </c>
      <c r="R40" s="18">
        <v>2360</v>
      </c>
    </row>
    <row r="41" spans="1:86" s="53" customFormat="1" x14ac:dyDescent="0.25">
      <c r="A41" s="1"/>
      <c r="B41" s="82" t="s">
        <v>16</v>
      </c>
      <c r="C41" s="83">
        <f t="shared" ref="C41:H41" si="20">C40/C11</f>
        <v>3.4795095548436981E-2</v>
      </c>
      <c r="D41" s="83">
        <f t="shared" si="20"/>
        <v>3.1661807580174929E-2</v>
      </c>
      <c r="E41" s="83">
        <f t="shared" si="20"/>
        <v>3.6628562228304622E-2</v>
      </c>
      <c r="F41" s="83">
        <f t="shared" si="20"/>
        <v>4.6525716362755196E-2</v>
      </c>
      <c r="G41" s="83">
        <f t="shared" si="20"/>
        <v>3.7563057819169576E-2</v>
      </c>
      <c r="H41" s="83">
        <f t="shared" si="20"/>
        <v>2.9299600037205841E-2</v>
      </c>
      <c r="I41" s="83">
        <f t="shared" ref="I41" si="21">I40/I11</f>
        <v>2.7993779160186624E-2</v>
      </c>
      <c r="J41" s="83">
        <f t="shared" ref="J41" si="22">J40/J11</f>
        <v>2.9169308814204185E-2</v>
      </c>
      <c r="K41" s="83">
        <f t="shared" ref="K41" si="23">K40/K11</f>
        <v>2.9299618703592215E-2</v>
      </c>
      <c r="L41" s="83">
        <f t="shared" ref="L41" si="24">L40/L11</f>
        <v>2.7161438408569244E-2</v>
      </c>
      <c r="M41" s="83">
        <f t="shared" ref="M41" si="25">M40/M11</f>
        <v>2.5053686471009307E-2</v>
      </c>
      <c r="N41" s="83">
        <f t="shared" ref="N41" si="26">N40/N11</f>
        <v>3.4942932396839335E-2</v>
      </c>
      <c r="O41" s="83">
        <f t="shared" ref="O41" si="27">O40/O11</f>
        <v>3.5161507402422611E-2</v>
      </c>
      <c r="P41" s="83">
        <f t="shared" ref="P41" si="28">P40/P11</f>
        <v>3.5392535392535396E-2</v>
      </c>
      <c r="Q41" s="83">
        <f t="shared" ref="Q41" si="29">Q40/Q11</f>
        <v>3.4450938172869885E-2</v>
      </c>
      <c r="R41" s="83">
        <f t="shared" ref="R41" si="30">R40/R11</f>
        <v>3.4609180231705526E-2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3" customFormat="1" x14ac:dyDescent="0.25">
      <c r="A43" s="1"/>
      <c r="B43" s="1" t="s">
        <v>21</v>
      </c>
      <c r="C43" s="11">
        <f>'Raw CF'!G20</f>
        <v>-1750</v>
      </c>
      <c r="D43" s="11">
        <f>'Raw CF'!H20</f>
        <v>-1548</v>
      </c>
      <c r="E43" s="11">
        <f>'Raw CF'!I20</f>
        <v>-2054</v>
      </c>
      <c r="F43" s="38">
        <f>'Raw CF'!B20</f>
        <v>-1177</v>
      </c>
      <c r="G43" s="38">
        <f>'Raw CF'!C20</f>
        <v>-1367</v>
      </c>
      <c r="H43" s="38">
        <f>'Raw CF'!D20</f>
        <v>-1484</v>
      </c>
      <c r="I43" s="20">
        <v>-1880</v>
      </c>
      <c r="J43" s="18">
        <v>-1980</v>
      </c>
      <c r="K43" s="18">
        <v>-2030</v>
      </c>
      <c r="L43" s="18">
        <v>-2240</v>
      </c>
      <c r="M43" s="18">
        <v>-2320</v>
      </c>
      <c r="N43" s="18">
        <v>-2860</v>
      </c>
      <c r="O43" s="18">
        <v>-3070</v>
      </c>
      <c r="P43" s="18">
        <v>-3300</v>
      </c>
      <c r="Q43" s="18">
        <v>-3540</v>
      </c>
      <c r="R43" s="18">
        <v>-3790</v>
      </c>
    </row>
    <row r="44" spans="1:86" s="53" customFormat="1" x14ac:dyDescent="0.25">
      <c r="A44" s="1"/>
      <c r="B44" s="82" t="s">
        <v>16</v>
      </c>
      <c r="C44" s="83">
        <f t="shared" ref="C44:H44" si="31">C43/C11</f>
        <v>-4.8326521595051367E-2</v>
      </c>
      <c r="D44" s="83">
        <f t="shared" si="31"/>
        <v>-4.5131195335276965E-2</v>
      </c>
      <c r="E44" s="83">
        <f t="shared" si="31"/>
        <v>-5.5117265067353621E-2</v>
      </c>
      <c r="F44" s="83">
        <f t="shared" si="31"/>
        <v>-3.5651541770158113E-2</v>
      </c>
      <c r="G44" s="83">
        <f t="shared" si="31"/>
        <v>-3.5364118484025354E-2</v>
      </c>
      <c r="H44" s="83">
        <f t="shared" si="31"/>
        <v>-3.4508417821597991E-2</v>
      </c>
      <c r="I44" s="83">
        <f t="shared" ref="I44" si="32">I43/I11</f>
        <v>-4.1768495889802269E-2</v>
      </c>
      <c r="J44" s="83">
        <f t="shared" ref="J44" si="33">J43/J11</f>
        <v>-4.1851616994292962E-2</v>
      </c>
      <c r="K44" s="83">
        <f t="shared" ref="K44" si="34">K43/K11</f>
        <v>-4.0738510937186431E-2</v>
      </c>
      <c r="L44" s="83">
        <f t="shared" ref="L44" si="35">L43/L11</f>
        <v>-4.2846212700841622E-2</v>
      </c>
      <c r="M44" s="83">
        <f t="shared" ref="M44" si="36">M43/M11</f>
        <v>-4.1517537580529708E-2</v>
      </c>
      <c r="N44" s="83">
        <f t="shared" ref="N44" si="37">N43/N11</f>
        <v>-5.0219490781387183E-2</v>
      </c>
      <c r="O44" s="83">
        <f t="shared" ref="O44" si="38">O43/O11</f>
        <v>-5.1648721399730819E-2</v>
      </c>
      <c r="P44" s="83">
        <f t="shared" ref="P44" si="39">P43/P11</f>
        <v>-5.3088803088803087E-2</v>
      </c>
      <c r="Q44" s="83">
        <f t="shared" ref="Q44" si="40">Q43/Q11</f>
        <v>-5.444478621962473E-2</v>
      </c>
      <c r="R44" s="83">
        <f t="shared" ref="R44" si="41">R43/R11</f>
        <v>-5.5579997067018626E-2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3" customFormat="1" x14ac:dyDescent="0.25">
      <c r="A46" s="1"/>
      <c r="B46" s="1" t="s">
        <v>22</v>
      </c>
      <c r="C46" s="76">
        <f>SUM('Raw CF'!G13)</f>
        <v>3442</v>
      </c>
      <c r="D46" s="76">
        <f>SUM('Raw CF'!H13)</f>
        <v>-1240</v>
      </c>
      <c r="E46" s="76">
        <f>SUM('Raw CF'!I13)</f>
        <v>366</v>
      </c>
      <c r="F46" s="76">
        <f>'Raw CF'!B13</f>
        <v>690</v>
      </c>
      <c r="G46" s="76">
        <f>'Raw CF'!C13</f>
        <v>1325</v>
      </c>
      <c r="H46" s="76">
        <f>'Raw CF'!D13</f>
        <v>-605</v>
      </c>
      <c r="I46" s="20">
        <f t="shared" ref="I46:R46" si="42">I47*I11</f>
        <v>225.05</v>
      </c>
      <c r="J46" s="18">
        <f t="shared" si="42"/>
        <v>236.55</v>
      </c>
      <c r="K46" s="18">
        <f t="shared" si="42"/>
        <v>249.15</v>
      </c>
      <c r="L46" s="18">
        <f t="shared" si="42"/>
        <v>261.39999999999998</v>
      </c>
      <c r="M46" s="18">
        <f t="shared" si="42"/>
        <v>279.40000000000003</v>
      </c>
      <c r="N46" s="18">
        <f t="shared" si="42"/>
        <v>284.75</v>
      </c>
      <c r="O46" s="18">
        <f t="shared" si="42"/>
        <v>297.2</v>
      </c>
      <c r="P46" s="18">
        <f t="shared" si="42"/>
        <v>310.8</v>
      </c>
      <c r="Q46" s="18">
        <f t="shared" si="42"/>
        <v>325.10000000000002</v>
      </c>
      <c r="R46" s="18">
        <f t="shared" si="42"/>
        <v>340.95</v>
      </c>
    </row>
    <row r="47" spans="1:86" s="53" customFormat="1" x14ac:dyDescent="0.25">
      <c r="A47" s="1"/>
      <c r="B47" s="82" t="s">
        <v>16</v>
      </c>
      <c r="C47" s="83">
        <f t="shared" ref="C47:H47" si="43">C46/C11</f>
        <v>9.5051364188666734E-2</v>
      </c>
      <c r="D47" s="83">
        <f t="shared" si="43"/>
        <v>-3.6151603498542274E-2</v>
      </c>
      <c r="E47" s="83">
        <f t="shared" si="43"/>
        <v>9.8212848172597005E-3</v>
      </c>
      <c r="F47" s="83">
        <f t="shared" si="43"/>
        <v>2.0900224147331434E-2</v>
      </c>
      <c r="G47" s="83">
        <f t="shared" si="43"/>
        <v>3.4277583753718796E-2</v>
      </c>
      <c r="H47" s="83">
        <f t="shared" si="43"/>
        <v>-1.4068458748023439E-2</v>
      </c>
      <c r="I47" s="88">
        <v>5.0000000000000001E-3</v>
      </c>
      <c r="J47" s="88">
        <v>5.0000000000000001E-3</v>
      </c>
      <c r="K47" s="88">
        <v>5.0000000000000001E-3</v>
      </c>
      <c r="L47" s="88">
        <v>5.0000000000000001E-3</v>
      </c>
      <c r="M47" s="88">
        <v>5.0000000000000001E-3</v>
      </c>
      <c r="N47" s="88">
        <v>5.0000000000000001E-3</v>
      </c>
      <c r="O47" s="88">
        <v>5.0000000000000001E-3</v>
      </c>
      <c r="P47" s="88">
        <v>5.0000000000000001E-3</v>
      </c>
      <c r="Q47" s="88">
        <v>5.0000000000000001E-3</v>
      </c>
      <c r="R47" s="88">
        <v>5.0000000000000001E-3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3" customFormat="1" x14ac:dyDescent="0.25">
      <c r="A49" s="1"/>
      <c r="B49" s="9" t="s">
        <v>23</v>
      </c>
      <c r="C49" s="11">
        <f>C33-C36</f>
        <v>2148</v>
      </c>
      <c r="D49" s="11">
        <f t="shared" ref="D49:H49" si="44">D33-D36</f>
        <v>7403</v>
      </c>
      <c r="E49" s="11">
        <f t="shared" si="44"/>
        <v>8285</v>
      </c>
      <c r="F49" s="11">
        <f t="shared" si="44"/>
        <v>7016</v>
      </c>
      <c r="G49" s="11">
        <f t="shared" si="44"/>
        <v>7687</v>
      </c>
      <c r="H49" s="11">
        <f t="shared" si="44"/>
        <v>8794</v>
      </c>
      <c r="I49" s="39">
        <f t="shared" ref="I49" si="45">I33-I36</f>
        <v>10569.900000000001</v>
      </c>
      <c r="J49" s="11">
        <f t="shared" ref="J49:R49" si="46">J33-J36</f>
        <v>11666.9</v>
      </c>
      <c r="K49" s="11">
        <f t="shared" si="46"/>
        <v>12331.7</v>
      </c>
      <c r="L49" s="11">
        <f t="shared" si="46"/>
        <v>13397.2</v>
      </c>
      <c r="M49" s="11">
        <f t="shared" si="46"/>
        <v>14701.2</v>
      </c>
      <c r="N49" s="11">
        <f t="shared" si="46"/>
        <v>15290.500000000002</v>
      </c>
      <c r="O49" s="11">
        <f t="shared" si="46"/>
        <v>16235.600000000002</v>
      </c>
      <c r="P49" s="11">
        <f t="shared" si="46"/>
        <v>17218.400000000001</v>
      </c>
      <c r="Q49" s="11">
        <f t="shared" si="46"/>
        <v>18099.8</v>
      </c>
      <c r="R49" s="11">
        <f t="shared" si="46"/>
        <v>18968.099999999999</v>
      </c>
    </row>
    <row r="50" spans="1:86" s="53" customFormat="1" x14ac:dyDescent="0.25">
      <c r="A50" s="1"/>
      <c r="B50" s="9" t="s">
        <v>50</v>
      </c>
      <c r="C50" s="11">
        <f>'Raw IS'!G16</f>
        <v>35</v>
      </c>
      <c r="D50" s="11">
        <f>'Raw IS'!H16</f>
        <v>42</v>
      </c>
      <c r="E50" s="11">
        <f>'Raw IS'!I16</f>
        <v>65</v>
      </c>
      <c r="F50" s="11">
        <f>'Raw IS'!B16</f>
        <v>21</v>
      </c>
      <c r="G50" s="11">
        <f>'Raw IS'!C16</f>
        <v>33</v>
      </c>
      <c r="H50" s="11">
        <f>'Raw IS'!D16</f>
        <v>29</v>
      </c>
      <c r="I50" s="39"/>
      <c r="J50" s="11"/>
      <c r="K50" s="11"/>
      <c r="L50" s="11"/>
      <c r="M50" s="11"/>
      <c r="N50" s="11"/>
      <c r="O50" s="11"/>
      <c r="P50" s="11"/>
      <c r="Q50" s="11"/>
      <c r="R50" s="11"/>
    </row>
    <row r="51" spans="1:86" s="53" customFormat="1" x14ac:dyDescent="0.25">
      <c r="A51" s="1"/>
      <c r="B51" s="9" t="s">
        <v>24</v>
      </c>
      <c r="C51" s="11">
        <f>C31-C36-C50</f>
        <v>1248</v>
      </c>
      <c r="D51" s="11">
        <f t="shared" ref="D51:H51" si="47">D31-D36-D50</f>
        <v>6434</v>
      </c>
      <c r="E51" s="11">
        <f t="shared" si="47"/>
        <v>8920</v>
      </c>
      <c r="F51" s="11">
        <f t="shared" si="47"/>
        <v>7747</v>
      </c>
      <c r="G51" s="11">
        <f t="shared" si="47"/>
        <v>9771</v>
      </c>
      <c r="H51" s="11">
        <f t="shared" si="47"/>
        <v>9542</v>
      </c>
      <c r="I51" s="39">
        <f>I31-I36-I50</f>
        <v>11020.000000000002</v>
      </c>
      <c r="J51" s="39">
        <f t="shared" ref="J51:R51" si="48">J31-J36-J50</f>
        <v>12140</v>
      </c>
      <c r="K51" s="39">
        <f t="shared" si="48"/>
        <v>12830</v>
      </c>
      <c r="L51" s="39">
        <f t="shared" si="48"/>
        <v>13920</v>
      </c>
      <c r="M51" s="39">
        <f t="shared" si="48"/>
        <v>15260</v>
      </c>
      <c r="N51" s="39">
        <f t="shared" si="48"/>
        <v>15860.000000000002</v>
      </c>
      <c r="O51" s="39">
        <f t="shared" si="48"/>
        <v>16830.000000000004</v>
      </c>
      <c r="P51" s="39">
        <f t="shared" si="48"/>
        <v>17840</v>
      </c>
      <c r="Q51" s="39">
        <f t="shared" si="48"/>
        <v>18750</v>
      </c>
      <c r="R51" s="39">
        <f t="shared" si="48"/>
        <v>19650</v>
      </c>
      <c r="S51" s="54">
        <f>R51*(1+$E$6)</f>
        <v>20043</v>
      </c>
      <c r="T51" s="54">
        <f t="shared" ref="T51:CE51" si="49">S51*(1+$E$6)</f>
        <v>20443.86</v>
      </c>
      <c r="U51" s="54">
        <f t="shared" si="49"/>
        <v>20852.7372</v>
      </c>
      <c r="V51" s="54">
        <f t="shared" si="49"/>
        <v>21269.791944000001</v>
      </c>
      <c r="W51" s="54">
        <f t="shared" si="49"/>
        <v>21695.187782880002</v>
      </c>
      <c r="X51" s="54">
        <f t="shared" si="49"/>
        <v>22129.091538537603</v>
      </c>
      <c r="Y51" s="54">
        <f t="shared" si="49"/>
        <v>22571.673369308355</v>
      </c>
      <c r="Z51" s="54">
        <f t="shared" si="49"/>
        <v>23023.106836694522</v>
      </c>
      <c r="AA51" s="54">
        <f t="shared" si="49"/>
        <v>23483.568973428413</v>
      </c>
      <c r="AB51" s="54">
        <f t="shared" si="49"/>
        <v>23953.240352896981</v>
      </c>
      <c r="AC51" s="54">
        <f t="shared" si="49"/>
        <v>24432.305159954922</v>
      </c>
      <c r="AD51" s="54">
        <f t="shared" si="49"/>
        <v>24920.95126315402</v>
      </c>
      <c r="AE51" s="54">
        <f t="shared" si="49"/>
        <v>25419.3702884171</v>
      </c>
      <c r="AF51" s="54">
        <f t="shared" si="49"/>
        <v>25927.757694185442</v>
      </c>
      <c r="AG51" s="54">
        <f t="shared" si="49"/>
        <v>26446.312848069152</v>
      </c>
      <c r="AH51" s="54">
        <f t="shared" si="49"/>
        <v>26975.239105030534</v>
      </c>
      <c r="AI51" s="54">
        <f t="shared" si="49"/>
        <v>27514.743887131146</v>
      </c>
      <c r="AJ51" s="54">
        <f t="shared" si="49"/>
        <v>28065.038764873771</v>
      </c>
      <c r="AK51" s="54">
        <f t="shared" si="49"/>
        <v>28626.339540171248</v>
      </c>
      <c r="AL51" s="54">
        <f t="shared" si="49"/>
        <v>29198.866330974673</v>
      </c>
      <c r="AM51" s="54">
        <f t="shared" si="49"/>
        <v>29782.843657594167</v>
      </c>
      <c r="AN51" s="54">
        <f t="shared" si="49"/>
        <v>30378.500530746052</v>
      </c>
      <c r="AO51" s="54">
        <f t="shared" si="49"/>
        <v>30986.070541360976</v>
      </c>
      <c r="AP51" s="54">
        <f t="shared" si="49"/>
        <v>31605.791952188196</v>
      </c>
      <c r="AQ51" s="54">
        <f t="shared" si="49"/>
        <v>32237.907791231959</v>
      </c>
      <c r="AR51" s="54">
        <f t="shared" si="49"/>
        <v>32882.665947056601</v>
      </c>
      <c r="AS51" s="54">
        <f t="shared" si="49"/>
        <v>33540.319265997736</v>
      </c>
      <c r="AT51" s="54">
        <f t="shared" si="49"/>
        <v>34211.125651317692</v>
      </c>
      <c r="AU51" s="54">
        <f t="shared" si="49"/>
        <v>34895.348164344046</v>
      </c>
      <c r="AV51" s="54">
        <f t="shared" si="49"/>
        <v>35593.255127630931</v>
      </c>
      <c r="AW51" s="54">
        <f t="shared" si="49"/>
        <v>36305.120230183551</v>
      </c>
      <c r="AX51" s="54">
        <f t="shared" si="49"/>
        <v>37031.22263478722</v>
      </c>
      <c r="AY51" s="54">
        <f t="shared" si="49"/>
        <v>37771.847087482965</v>
      </c>
      <c r="AZ51" s="54">
        <f t="shared" si="49"/>
        <v>38527.284029232622</v>
      </c>
      <c r="BA51" s="54">
        <f t="shared" si="49"/>
        <v>39297.829709817277</v>
      </c>
      <c r="BB51" s="54">
        <f t="shared" si="49"/>
        <v>40083.786304013622</v>
      </c>
      <c r="BC51" s="54">
        <f t="shared" si="49"/>
        <v>40885.462030093891</v>
      </c>
      <c r="BD51" s="54">
        <f t="shared" si="49"/>
        <v>41703.17127069577</v>
      </c>
      <c r="BE51" s="54">
        <f t="shared" si="49"/>
        <v>42537.234696109685</v>
      </c>
      <c r="BF51" s="54">
        <f t="shared" si="49"/>
        <v>43387.979390031876</v>
      </c>
      <c r="BG51" s="54">
        <f t="shared" si="49"/>
        <v>44255.738977832516</v>
      </c>
      <c r="BH51" s="54">
        <f t="shared" si="49"/>
        <v>45140.853757389166</v>
      </c>
      <c r="BI51" s="54">
        <f t="shared" si="49"/>
        <v>46043.670832536947</v>
      </c>
      <c r="BJ51" s="54">
        <f t="shared" si="49"/>
        <v>46964.544249187689</v>
      </c>
      <c r="BK51" s="54">
        <f t="shared" si="49"/>
        <v>47903.835134171444</v>
      </c>
      <c r="BL51" s="54">
        <f t="shared" si="49"/>
        <v>48861.911836854873</v>
      </c>
      <c r="BM51" s="54">
        <f t="shared" si="49"/>
        <v>49839.150073591969</v>
      </c>
      <c r="BN51" s="54">
        <f t="shared" si="49"/>
        <v>50835.933075063811</v>
      </c>
      <c r="BO51" s="54">
        <f t="shared" si="49"/>
        <v>51852.651736565087</v>
      </c>
      <c r="BP51" s="54">
        <f t="shared" si="49"/>
        <v>52889.70477129639</v>
      </c>
      <c r="BQ51" s="54">
        <f t="shared" si="49"/>
        <v>53947.498866722322</v>
      </c>
      <c r="BR51" s="54">
        <f t="shared" si="49"/>
        <v>55026.448844056773</v>
      </c>
      <c r="BS51" s="54">
        <f t="shared" si="49"/>
        <v>56126.977820937907</v>
      </c>
      <c r="BT51" s="54">
        <f t="shared" si="49"/>
        <v>57249.517377356664</v>
      </c>
      <c r="BU51" s="54">
        <f t="shared" si="49"/>
        <v>58394.5077249038</v>
      </c>
      <c r="BV51" s="54">
        <f t="shared" si="49"/>
        <v>59562.397879401877</v>
      </c>
      <c r="BW51" s="54">
        <f t="shared" si="49"/>
        <v>60753.645836989912</v>
      </c>
      <c r="BX51" s="54">
        <f t="shared" si="49"/>
        <v>61968.718753729714</v>
      </c>
      <c r="BY51" s="54">
        <f t="shared" si="49"/>
        <v>63208.093128804307</v>
      </c>
      <c r="BZ51" s="54">
        <f t="shared" si="49"/>
        <v>64472.254991380396</v>
      </c>
      <c r="CA51" s="54">
        <f t="shared" si="49"/>
        <v>65761.700091208011</v>
      </c>
      <c r="CB51" s="54">
        <f t="shared" si="49"/>
        <v>67076.934093032178</v>
      </c>
      <c r="CC51" s="54">
        <f t="shared" si="49"/>
        <v>68418.472774892827</v>
      </c>
      <c r="CD51" s="54">
        <f t="shared" si="49"/>
        <v>69786.842230390685</v>
      </c>
      <c r="CE51" s="54">
        <f t="shared" si="49"/>
        <v>71182.579074998503</v>
      </c>
      <c r="CF51" s="54">
        <f t="shared" ref="CF51:CH51" si="50">CE51*(1+$E$6)</f>
        <v>72606.230656498476</v>
      </c>
      <c r="CG51" s="54">
        <f t="shared" si="50"/>
        <v>74058.355269628446</v>
      </c>
      <c r="CH51" s="54">
        <f t="shared" si="50"/>
        <v>75539.522375021013</v>
      </c>
    </row>
    <row r="52" spans="1:86" s="53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3" customFormat="1" x14ac:dyDescent="0.25">
      <c r="A53" s="1"/>
      <c r="B53" s="9" t="s">
        <v>25</v>
      </c>
      <c r="C53" s="24">
        <f>C49+C40+C43-C46</f>
        <v>-1784</v>
      </c>
      <c r="D53" s="24">
        <f>D49+D40+D43-D46</f>
        <v>8181</v>
      </c>
      <c r="E53" s="24">
        <f>E49+E40+E43-E46</f>
        <v>7230</v>
      </c>
      <c r="F53" s="24">
        <f>F49+F40+F43-F46</f>
        <v>6685</v>
      </c>
      <c r="G53" s="24">
        <f>G49+G40+G43-G46</f>
        <v>6447</v>
      </c>
      <c r="H53" s="24">
        <f>H49+H40+H43-H46</f>
        <v>9175</v>
      </c>
      <c r="I53" s="55">
        <f>I49+I40+I43-I46</f>
        <v>9724.8500000000022</v>
      </c>
      <c r="J53" s="24">
        <f>J49+J40+J43-J46</f>
        <v>10830.35</v>
      </c>
      <c r="K53" s="24">
        <f>K49+K40+K43-K46</f>
        <v>11512.550000000001</v>
      </c>
      <c r="L53" s="24">
        <f>L49+L40+L43-L46</f>
        <v>12315.800000000001</v>
      </c>
      <c r="M53" s="24">
        <f>M49+M40+M43-M46</f>
        <v>13501.800000000001</v>
      </c>
      <c r="N53" s="24">
        <f>N49+N40+N43-N46</f>
        <v>14135.75</v>
      </c>
      <c r="O53" s="24">
        <f>O49+O40+O43-O46</f>
        <v>14958.400000000001</v>
      </c>
      <c r="P53" s="24">
        <f>P49+P40+P43-P46</f>
        <v>15807.600000000002</v>
      </c>
      <c r="Q53" s="24">
        <f>Q49+Q40+Q43-Q46</f>
        <v>16474.7</v>
      </c>
      <c r="R53" s="24">
        <f>R49+R40+R43-R46</f>
        <v>17197.149999999998</v>
      </c>
    </row>
    <row r="54" spans="1:86" s="53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9">
        <f>I53/((1+$E$5)^I9)</f>
        <v>9076.3877501971419</v>
      </c>
      <c r="J54" s="80">
        <f>J53/((1+$E$5)^J9)</f>
        <v>9434.149435802361</v>
      </c>
      <c r="K54" s="80">
        <f>K53/((1+$E$5)^K9)</f>
        <v>9359.6997762623669</v>
      </c>
      <c r="L54" s="80">
        <f>L53/((1+$E$5)^L9)</f>
        <v>9345.0826425650394</v>
      </c>
      <c r="M54" s="80">
        <f>M53/((1+$E$5)^M9)</f>
        <v>9561.8586415931313</v>
      </c>
      <c r="N54" s="80">
        <f>N53/((1+$E$5)^N9)</f>
        <v>9343.285806106469</v>
      </c>
      <c r="O54" s="80">
        <f>O53/((1+$E$5)^O9)</f>
        <v>9227.7548913188457</v>
      </c>
      <c r="P54" s="80">
        <f>P53/((1+$E$5)^P9)</f>
        <v>9101.3742991731233</v>
      </c>
      <c r="Q54" s="80">
        <f>Q53/((1+$E$5)^Q9)</f>
        <v>8852.9636719841328</v>
      </c>
      <c r="R54" s="80">
        <f>R53/((1+$E$5)^R9)</f>
        <v>8624.9736351856827</v>
      </c>
    </row>
    <row r="55" spans="1:86" s="53" customFormat="1" x14ac:dyDescent="0.25">
      <c r="A55" s="1"/>
      <c r="B55" s="26"/>
      <c r="C55" s="26"/>
      <c r="D55" s="26"/>
      <c r="E55" s="26"/>
      <c r="F55" s="26"/>
      <c r="G55" s="26"/>
      <c r="H55" s="26"/>
      <c r="I55" s="81"/>
      <c r="J55" s="1"/>
      <c r="K55" s="1"/>
      <c r="L55" s="1"/>
      <c r="M55" s="1"/>
      <c r="N55" s="1"/>
      <c r="O55" s="1"/>
      <c r="P55" s="1"/>
      <c r="Q55" s="1"/>
      <c r="R55" s="1"/>
    </row>
    <row r="56" spans="1:86" s="53" customFormat="1" x14ac:dyDescent="0.25">
      <c r="A56" s="1"/>
      <c r="B56" s="1" t="s">
        <v>27</v>
      </c>
      <c r="C56" s="27">
        <f>(R53*(1+$E$6))/($E$5-$E$6)</f>
        <v>340968.08739485283</v>
      </c>
      <c r="D56" s="1"/>
      <c r="E56" s="1" t="s">
        <v>28</v>
      </c>
      <c r="F56" s="18">
        <f>NPV($E$5,I51:CH51)</f>
        <v>292243.28631086071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3" customFormat="1" x14ac:dyDescent="0.25">
      <c r="A57" s="1"/>
      <c r="B57" s="3" t="s">
        <v>29</v>
      </c>
      <c r="C57" s="28">
        <f>C56/((1+$E$5)^$R$9)</f>
        <v>171007.44973558374</v>
      </c>
      <c r="D57" s="16"/>
      <c r="E57" s="3"/>
      <c r="F57" s="3"/>
      <c r="G57" s="3"/>
      <c r="H57" s="16"/>
      <c r="I57" s="12"/>
      <c r="J57" s="1"/>
      <c r="K57" s="2"/>
      <c r="L57" s="91" t="s">
        <v>137</v>
      </c>
      <c r="M57" s="91"/>
      <c r="N57" s="91"/>
      <c r="O57" s="91"/>
      <c r="P57" s="91"/>
      <c r="Q57" s="91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6"/>
      <c r="L58" s="61">
        <f>E64</f>
        <v>62.439085002899702</v>
      </c>
      <c r="M58" s="90">
        <v>0.01</v>
      </c>
      <c r="N58" s="90">
        <v>1.4999999999999999E-2</v>
      </c>
      <c r="O58" s="90">
        <v>0.02</v>
      </c>
      <c r="P58" s="90">
        <v>2.5000000000000001E-2</v>
      </c>
      <c r="Q58" s="90">
        <v>0.03</v>
      </c>
    </row>
    <row r="59" spans="1:86" x14ac:dyDescent="0.25">
      <c r="A59" s="1"/>
      <c r="B59" s="30" t="s">
        <v>32</v>
      </c>
      <c r="C59" s="1"/>
      <c r="D59" s="23">
        <v>12564</v>
      </c>
      <c r="E59" s="1"/>
      <c r="F59" s="1"/>
      <c r="G59" s="27">
        <f>C57+SUM(I54:R54)</f>
        <v>262934.98028577201</v>
      </c>
      <c r="H59" s="18">
        <f>F56</f>
        <v>292243.28631086071</v>
      </c>
      <c r="I59" s="15"/>
      <c r="K59" s="56"/>
      <c r="L59" s="58">
        <f>L60-1%</f>
        <v>5.1444969920855982E-2</v>
      </c>
      <c r="M59" s="62">
        <f t="dataTable" ref="M59:Q63" dt2D="1" dtr="1" r1="E6" r2="E5"/>
        <v>84.045524767206089</v>
      </c>
      <c r="N59" s="62">
        <v>91.721191387772322</v>
      </c>
      <c r="O59" s="62">
        <v>101.37448843232363</v>
      </c>
      <c r="P59" s="62">
        <v>113.91240053706869</v>
      </c>
      <c r="Q59" s="62">
        <v>130.98666562776646</v>
      </c>
    </row>
    <row r="60" spans="1:86" x14ac:dyDescent="0.25">
      <c r="A60" s="1"/>
      <c r="B60" s="31" t="s">
        <v>33</v>
      </c>
      <c r="C60" s="3"/>
      <c r="D60" s="40">
        <f>24115-3970</f>
        <v>20145</v>
      </c>
      <c r="E60" s="3"/>
      <c r="F60" s="3"/>
      <c r="G60" s="3"/>
      <c r="H60" s="3"/>
      <c r="I60" s="15"/>
      <c r="K60" s="57"/>
      <c r="L60" s="58">
        <f>L61-1%</f>
        <v>6.1444969920855984E-2</v>
      </c>
      <c r="M60" s="62">
        <v>67.300572071669563</v>
      </c>
      <c r="N60" s="63">
        <v>72.046239184813516</v>
      </c>
      <c r="O60" s="63">
        <v>77.768947481229077</v>
      </c>
      <c r="P60" s="63">
        <v>84.796353420438166</v>
      </c>
      <c r="Q60" s="62">
        <v>93.631556096253732</v>
      </c>
      <c r="R60" s="49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255353.98028577201</v>
      </c>
      <c r="H61" s="33">
        <f>H59+D59-D60</f>
        <v>284662.28631086071</v>
      </c>
      <c r="I61" s="15"/>
      <c r="K61" s="56" t="s">
        <v>1</v>
      </c>
      <c r="L61" s="58">
        <v>7.1444969920855986E-2</v>
      </c>
      <c r="M61" s="62">
        <v>55.654680788306237</v>
      </c>
      <c r="N61" s="63">
        <v>58.776078447140094</v>
      </c>
      <c r="O61" s="64">
        <v>62.439085002899702</v>
      </c>
      <c r="P61" s="63">
        <v>66.790497437834901</v>
      </c>
      <c r="Q61" s="62">
        <v>72.035918906936274</v>
      </c>
    </row>
    <row r="62" spans="1:86" x14ac:dyDescent="0.25">
      <c r="A62" s="1"/>
      <c r="B62" s="3" t="s">
        <v>35</v>
      </c>
      <c r="C62" s="3"/>
      <c r="D62" s="38">
        <f>4324344812/1000000</f>
        <v>4324.3448120000003</v>
      </c>
      <c r="E62" s="3"/>
      <c r="F62" s="3"/>
      <c r="G62" s="3"/>
      <c r="H62" s="34"/>
      <c r="I62" s="15"/>
      <c r="K62" s="56"/>
      <c r="L62" s="59">
        <f>L61+0.5%</f>
        <v>7.644496992085599E-2</v>
      </c>
      <c r="M62" s="62">
        <v>51.089643161731402</v>
      </c>
      <c r="N62" s="63">
        <v>53.665376771241931</v>
      </c>
      <c r="O62" s="63">
        <v>56.656148670183271</v>
      </c>
      <c r="P62" s="63">
        <v>60.165315259572971</v>
      </c>
      <c r="Q62" s="62">
        <v>64.333271971755664</v>
      </c>
    </row>
    <row r="63" spans="1:86" x14ac:dyDescent="0.25">
      <c r="A63" s="1"/>
      <c r="B63" s="17" t="s">
        <v>36</v>
      </c>
      <c r="C63" s="17"/>
      <c r="D63" s="65">
        <f>D62*$J$5</f>
        <v>244325.48187800002</v>
      </c>
      <c r="E63" s="17"/>
      <c r="F63" s="17"/>
      <c r="G63" s="17"/>
      <c r="H63" s="35"/>
      <c r="I63" s="1"/>
      <c r="K63" s="56"/>
      <c r="L63" s="59">
        <f>L62+1%</f>
        <v>8.6444969920855985E-2</v>
      </c>
      <c r="M63" s="62">
        <v>43.709756945564003</v>
      </c>
      <c r="N63" s="62">
        <v>45.512887361662237</v>
      </c>
      <c r="O63" s="62">
        <v>47.570338806847225</v>
      </c>
      <c r="P63" s="62">
        <v>49.93700924781723</v>
      </c>
      <c r="Q63" s="62">
        <v>52.684261212457486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62.439085002899702</v>
      </c>
      <c r="F64" s="6"/>
      <c r="G64" s="36">
        <f>G61/D62</f>
        <v>59.050328173916206</v>
      </c>
      <c r="H64" s="37">
        <f>H61/D62</f>
        <v>65.827841831883205</v>
      </c>
      <c r="I64" s="15"/>
    </row>
    <row r="65" spans="2:9" x14ac:dyDescent="0.25">
      <c r="B65" s="42"/>
      <c r="C65" s="42"/>
      <c r="D65" s="42"/>
      <c r="E65" s="42"/>
      <c r="F65" s="42"/>
      <c r="G65" s="42"/>
      <c r="H65" s="42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51"/>
  <sheetViews>
    <sheetView topLeftCell="A10" workbookViewId="0">
      <selection activeCell="F10" sqref="F10"/>
    </sheetView>
  </sheetViews>
  <sheetFormatPr defaultRowHeight="15" x14ac:dyDescent="0.25"/>
  <cols>
    <col min="1" max="1" width="49.42578125" customWidth="1"/>
    <col min="6" max="6" width="42.28515625" customWidth="1"/>
  </cols>
  <sheetData>
    <row r="1" spans="1:9" ht="15" customHeight="1" x14ac:dyDescent="0.25">
      <c r="A1" s="92" t="s">
        <v>138</v>
      </c>
      <c r="B1" s="93" t="s">
        <v>139</v>
      </c>
      <c r="C1" s="94"/>
      <c r="D1" s="94"/>
      <c r="E1" s="69"/>
      <c r="F1" s="92" t="s">
        <v>138</v>
      </c>
      <c r="G1" s="93" t="s">
        <v>139</v>
      </c>
      <c r="H1" s="94"/>
      <c r="I1" s="94"/>
    </row>
    <row r="2" spans="1:9" ht="30" x14ac:dyDescent="0.25">
      <c r="A2" s="94"/>
      <c r="B2" s="95" t="s">
        <v>142</v>
      </c>
      <c r="C2" s="95" t="s">
        <v>141</v>
      </c>
      <c r="D2" s="95" t="s">
        <v>140</v>
      </c>
      <c r="E2" s="69"/>
      <c r="F2" s="94"/>
      <c r="G2" s="95" t="s">
        <v>194</v>
      </c>
      <c r="H2" s="95" t="s">
        <v>193</v>
      </c>
      <c r="I2" s="95" t="s">
        <v>192</v>
      </c>
    </row>
    <row r="3" spans="1:9" x14ac:dyDescent="0.25">
      <c r="A3" s="96" t="s">
        <v>143</v>
      </c>
      <c r="B3" s="97">
        <v>33014</v>
      </c>
      <c r="C3" s="97">
        <v>38655</v>
      </c>
      <c r="D3" s="97">
        <v>43004</v>
      </c>
      <c r="E3" s="69"/>
      <c r="F3" s="96" t="s">
        <v>195</v>
      </c>
      <c r="G3" s="97">
        <v>36212</v>
      </c>
      <c r="H3" s="97">
        <v>34300</v>
      </c>
      <c r="I3" s="97">
        <v>37266</v>
      </c>
    </row>
    <row r="4" spans="1:9" x14ac:dyDescent="0.25">
      <c r="A4" s="96" t="s">
        <v>144</v>
      </c>
      <c r="B4" s="98">
        <v>13433</v>
      </c>
      <c r="C4" s="98">
        <v>15357</v>
      </c>
      <c r="D4" s="98">
        <v>18000</v>
      </c>
      <c r="E4" s="68"/>
      <c r="F4" s="96" t="s">
        <v>196</v>
      </c>
      <c r="G4" s="98">
        <v>13721</v>
      </c>
      <c r="H4" s="98">
        <v>13067</v>
      </c>
      <c r="I4" s="98">
        <v>14619</v>
      </c>
    </row>
    <row r="5" spans="1:9" x14ac:dyDescent="0.25">
      <c r="A5" s="96" t="s">
        <v>10</v>
      </c>
      <c r="B5" s="98">
        <v>19581</v>
      </c>
      <c r="C5" s="98">
        <v>23298</v>
      </c>
      <c r="D5" s="98">
        <v>25004</v>
      </c>
      <c r="E5" s="69"/>
      <c r="F5" s="96" t="s">
        <v>197</v>
      </c>
      <c r="G5" s="98">
        <v>22491</v>
      </c>
      <c r="H5" s="98">
        <v>21233</v>
      </c>
      <c r="I5" s="98">
        <v>22647</v>
      </c>
    </row>
    <row r="6" spans="1:9" x14ac:dyDescent="0.25">
      <c r="A6" s="96" t="s">
        <v>145</v>
      </c>
      <c r="B6" s="98">
        <v>9731</v>
      </c>
      <c r="C6" s="98">
        <v>12144</v>
      </c>
      <c r="D6" s="98">
        <v>12880</v>
      </c>
      <c r="E6" s="70"/>
      <c r="F6" s="96" t="s">
        <v>198</v>
      </c>
      <c r="G6" s="98">
        <v>12834</v>
      </c>
      <c r="H6" s="98">
        <v>11002</v>
      </c>
      <c r="I6" s="98">
        <v>12103</v>
      </c>
    </row>
    <row r="7" spans="1:9" x14ac:dyDescent="0.25">
      <c r="A7" s="96" t="s">
        <v>146</v>
      </c>
      <c r="B7" s="98">
        <v>853</v>
      </c>
      <c r="C7" s="98">
        <v>846</v>
      </c>
      <c r="D7" s="98">
        <v>1215</v>
      </c>
      <c r="E7" s="71"/>
      <c r="F7" s="96" t="s">
        <v>199</v>
      </c>
      <c r="G7" s="98">
        <v>1902</v>
      </c>
      <c r="H7" s="98">
        <v>1079</v>
      </c>
      <c r="I7" s="98">
        <v>458</v>
      </c>
    </row>
    <row r="8" spans="1:9" x14ac:dyDescent="0.25">
      <c r="A8" s="96" t="s">
        <v>147</v>
      </c>
      <c r="B8" s="98">
        <v>8997</v>
      </c>
      <c r="C8" s="98">
        <v>10308</v>
      </c>
      <c r="D8" s="98">
        <v>10909</v>
      </c>
      <c r="E8" s="71"/>
      <c r="F8" s="96" t="s">
        <v>200</v>
      </c>
      <c r="G8" s="98">
        <v>7755</v>
      </c>
      <c r="H8" s="98">
        <v>9152</v>
      </c>
      <c r="I8" s="98">
        <v>10086</v>
      </c>
    </row>
    <row r="9" spans="1:9" x14ac:dyDescent="0.25">
      <c r="A9" s="96" t="s">
        <v>148</v>
      </c>
      <c r="B9" s="98">
        <v>370</v>
      </c>
      <c r="C9" s="98">
        <v>276</v>
      </c>
      <c r="D9" s="98">
        <v>449</v>
      </c>
      <c r="E9" s="69"/>
      <c r="F9" s="96" t="s">
        <v>148</v>
      </c>
      <c r="G9" s="98">
        <v>679</v>
      </c>
      <c r="H9" s="98">
        <v>689</v>
      </c>
      <c r="I9" s="98">
        <v>563</v>
      </c>
    </row>
    <row r="10" spans="1:9" x14ac:dyDescent="0.25">
      <c r="A10" s="96" t="s">
        <v>149</v>
      </c>
      <c r="B10" s="98">
        <v>1437</v>
      </c>
      <c r="C10" s="98">
        <v>1597</v>
      </c>
      <c r="D10" s="98">
        <v>882</v>
      </c>
      <c r="E10" s="71"/>
      <c r="F10" s="96" t="s">
        <v>149</v>
      </c>
      <c r="G10" s="98">
        <v>853</v>
      </c>
      <c r="H10" s="98">
        <v>950</v>
      </c>
      <c r="I10" s="98">
        <v>946</v>
      </c>
    </row>
    <row r="11" spans="1:9" x14ac:dyDescent="0.25">
      <c r="A11" s="96" t="s">
        <v>150</v>
      </c>
      <c r="B11" s="98">
        <v>978</v>
      </c>
      <c r="C11" s="98">
        <v>1438</v>
      </c>
      <c r="D11" s="98">
        <v>1472</v>
      </c>
      <c r="E11" s="69"/>
      <c r="F11" s="96" t="s">
        <v>201</v>
      </c>
      <c r="G11" s="98">
        <v>1072</v>
      </c>
      <c r="H11" s="98">
        <v>1008</v>
      </c>
      <c r="I11" s="98">
        <v>1049</v>
      </c>
    </row>
    <row r="12" spans="1:9" x14ac:dyDescent="0.25">
      <c r="A12" s="96" t="s">
        <v>151</v>
      </c>
      <c r="B12" s="98">
        <v>841</v>
      </c>
      <c r="C12" s="98">
        <v>2000</v>
      </c>
      <c r="D12" s="98">
        <v>-262</v>
      </c>
      <c r="E12" s="71"/>
      <c r="F12" s="96" t="s">
        <v>202</v>
      </c>
      <c r="G12" s="98">
        <v>-1763</v>
      </c>
      <c r="H12" s="98">
        <v>-1674</v>
      </c>
      <c r="I12" s="98">
        <v>34</v>
      </c>
    </row>
    <row r="13" spans="1:9" x14ac:dyDescent="0.25">
      <c r="A13" s="96" t="s">
        <v>152</v>
      </c>
      <c r="B13" s="98">
        <v>9749</v>
      </c>
      <c r="C13" s="98">
        <v>12425</v>
      </c>
      <c r="D13" s="98">
        <v>11686</v>
      </c>
      <c r="E13" s="69"/>
      <c r="F13" s="96" t="s">
        <v>203</v>
      </c>
      <c r="G13" s="98">
        <v>6890</v>
      </c>
      <c r="H13" s="98">
        <v>8225</v>
      </c>
      <c r="I13" s="98">
        <v>10786</v>
      </c>
    </row>
    <row r="14" spans="1:9" x14ac:dyDescent="0.25">
      <c r="A14" s="96" t="s">
        <v>72</v>
      </c>
      <c r="B14" s="98">
        <v>1981</v>
      </c>
      <c r="C14" s="98">
        <v>2621</v>
      </c>
      <c r="D14" s="98">
        <v>2115</v>
      </c>
      <c r="E14" s="71"/>
      <c r="F14" s="96" t="s">
        <v>72</v>
      </c>
      <c r="G14" s="98">
        <v>5607</v>
      </c>
      <c r="H14" s="98">
        <v>1749</v>
      </c>
      <c r="I14" s="98">
        <v>1801</v>
      </c>
    </row>
    <row r="15" spans="1:9" x14ac:dyDescent="0.25">
      <c r="A15" s="96" t="s">
        <v>153</v>
      </c>
      <c r="B15" s="98">
        <v>7768</v>
      </c>
      <c r="C15" s="98">
        <v>9804</v>
      </c>
      <c r="D15" s="98">
        <v>9571</v>
      </c>
      <c r="E15" s="71"/>
      <c r="F15" s="96" t="s">
        <v>204</v>
      </c>
      <c r="G15" s="98">
        <v>1283</v>
      </c>
      <c r="H15" s="98">
        <v>6476</v>
      </c>
      <c r="I15" s="98">
        <v>8985</v>
      </c>
    </row>
    <row r="16" spans="1:9" ht="30" x14ac:dyDescent="0.25">
      <c r="A16" s="96" t="s">
        <v>154</v>
      </c>
      <c r="B16" s="98">
        <v>21</v>
      </c>
      <c r="C16" s="98">
        <v>33</v>
      </c>
      <c r="D16" s="98">
        <v>29</v>
      </c>
      <c r="E16" s="71"/>
      <c r="F16" s="96" t="s">
        <v>154</v>
      </c>
      <c r="G16" s="98">
        <v>35</v>
      </c>
      <c r="H16" s="98">
        <v>42</v>
      </c>
      <c r="I16" s="98">
        <v>65</v>
      </c>
    </row>
    <row r="17" spans="1:9" ht="45" x14ac:dyDescent="0.25">
      <c r="A17" s="96" t="s">
        <v>155</v>
      </c>
      <c r="B17" s="97">
        <v>7747</v>
      </c>
      <c r="C17" s="97">
        <v>9771</v>
      </c>
      <c r="D17" s="97">
        <v>9542</v>
      </c>
      <c r="E17" s="71"/>
      <c r="F17" s="96" t="s">
        <v>205</v>
      </c>
      <c r="G17" s="97">
        <v>1248</v>
      </c>
      <c r="H17" s="97">
        <v>6434</v>
      </c>
      <c r="I17" s="97">
        <v>8920</v>
      </c>
    </row>
    <row r="18" spans="1:9" ht="30" x14ac:dyDescent="0.25">
      <c r="A18" s="96" t="s">
        <v>156</v>
      </c>
      <c r="B18" s="99">
        <v>1.8</v>
      </c>
      <c r="C18" s="99">
        <v>2.2599999999999998</v>
      </c>
      <c r="D18" s="99">
        <v>2.2000000000000002</v>
      </c>
      <c r="E18" s="71"/>
      <c r="F18" s="96" t="s">
        <v>206</v>
      </c>
      <c r="G18" s="99">
        <v>0.28999999999999998</v>
      </c>
      <c r="H18" s="99">
        <v>1.51</v>
      </c>
      <c r="I18" s="99">
        <v>2.09</v>
      </c>
    </row>
    <row r="19" spans="1:9" ht="30" x14ac:dyDescent="0.25">
      <c r="A19" s="96" t="s">
        <v>157</v>
      </c>
      <c r="B19" s="99">
        <v>1.79</v>
      </c>
      <c r="C19" s="99">
        <v>2.25</v>
      </c>
      <c r="D19" s="99">
        <v>2.19</v>
      </c>
      <c r="E19" s="71">
        <f>B21-B15</f>
        <v>-7740</v>
      </c>
      <c r="F19" s="96" t="s">
        <v>207</v>
      </c>
      <c r="G19" s="99">
        <v>0.28999999999999998</v>
      </c>
      <c r="H19" s="99">
        <v>1.5</v>
      </c>
      <c r="I19" s="99">
        <v>2.0699999999999998</v>
      </c>
    </row>
    <row r="20" spans="1:9" x14ac:dyDescent="0.25">
      <c r="A20" s="96" t="s">
        <v>158</v>
      </c>
      <c r="B20" s="98">
        <v>4295</v>
      </c>
      <c r="C20" s="98">
        <v>4315</v>
      </c>
      <c r="D20" s="98">
        <v>4328</v>
      </c>
      <c r="E20" s="71"/>
      <c r="F20" s="96" t="s">
        <v>208</v>
      </c>
      <c r="G20" s="98">
        <v>4272</v>
      </c>
      <c r="H20" s="98">
        <v>4259</v>
      </c>
      <c r="I20" s="98">
        <v>4276</v>
      </c>
    </row>
    <row r="21" spans="1:9" x14ac:dyDescent="0.25">
      <c r="A21" s="96" t="s">
        <v>159</v>
      </c>
      <c r="B21" s="98">
        <v>28</v>
      </c>
      <c r="C21" s="98">
        <v>25</v>
      </c>
      <c r="D21" s="98">
        <v>22</v>
      </c>
      <c r="E21" s="71"/>
      <c r="F21" s="96" t="s">
        <v>209</v>
      </c>
      <c r="G21" s="98">
        <v>52</v>
      </c>
      <c r="H21" s="98">
        <v>40</v>
      </c>
      <c r="I21" s="98">
        <v>38</v>
      </c>
    </row>
    <row r="22" spans="1:9" ht="30" x14ac:dyDescent="0.25">
      <c r="A22" s="96" t="s">
        <v>160</v>
      </c>
      <c r="B22" s="98">
        <v>4323</v>
      </c>
      <c r="C22" s="98">
        <v>4340</v>
      </c>
      <c r="D22" s="98">
        <v>4350</v>
      </c>
      <c r="E22" s="69"/>
      <c r="F22" s="96" t="s">
        <v>210</v>
      </c>
      <c r="G22" s="98">
        <v>4324</v>
      </c>
      <c r="H22" s="98">
        <v>4299</v>
      </c>
      <c r="I22" s="98">
        <v>4314</v>
      </c>
    </row>
    <row r="23" spans="1:9" x14ac:dyDescent="0.25">
      <c r="A23" s="68" t="s">
        <v>53</v>
      </c>
      <c r="B23" s="71">
        <v>-1732</v>
      </c>
      <c r="C23" s="71">
        <v>-25</v>
      </c>
      <c r="D23" s="71">
        <v>-699</v>
      </c>
      <c r="E23" s="71"/>
      <c r="F23" t="s">
        <v>100</v>
      </c>
      <c r="G23">
        <v>-3031</v>
      </c>
      <c r="H23">
        <v>-1663</v>
      </c>
      <c r="I23">
        <v>-4422</v>
      </c>
    </row>
    <row r="24" spans="1:9" x14ac:dyDescent="0.25">
      <c r="A24" s="68" t="s">
        <v>54</v>
      </c>
      <c r="B24" s="71">
        <v>3553</v>
      </c>
      <c r="C24" s="71">
        <v>2536</v>
      </c>
      <c r="D24" s="71">
        <v>-2442</v>
      </c>
      <c r="E24" s="71"/>
      <c r="F24" t="s">
        <v>101</v>
      </c>
      <c r="G24">
        <v>10913</v>
      </c>
      <c r="H24">
        <v>13066</v>
      </c>
      <c r="I24">
        <v>9366</v>
      </c>
    </row>
    <row r="25" spans="1:9" x14ac:dyDescent="0.25">
      <c r="A25" s="68" t="s">
        <v>55</v>
      </c>
      <c r="B25" s="71">
        <v>-48</v>
      </c>
      <c r="C25" s="71">
        <v>-29</v>
      </c>
      <c r="D25" s="71">
        <v>-32</v>
      </c>
      <c r="E25" s="71"/>
      <c r="F25" t="s">
        <v>102</v>
      </c>
    </row>
    <row r="26" spans="1:9" x14ac:dyDescent="0.25">
      <c r="A26" s="68" t="s">
        <v>56</v>
      </c>
      <c r="B26" s="69"/>
      <c r="C26" s="69"/>
      <c r="D26" s="69"/>
      <c r="E26" s="69"/>
      <c r="F26" t="s">
        <v>103</v>
      </c>
      <c r="G26">
        <v>671</v>
      </c>
      <c r="H26">
        <v>0</v>
      </c>
      <c r="I26">
        <v>0</v>
      </c>
    </row>
    <row r="27" spans="1:9" x14ac:dyDescent="0.25">
      <c r="A27" s="68" t="s">
        <v>57</v>
      </c>
      <c r="B27" s="71">
        <v>3505</v>
      </c>
      <c r="C27" s="71">
        <v>2507</v>
      </c>
      <c r="D27" s="71">
        <v>-2474</v>
      </c>
      <c r="E27" s="71"/>
      <c r="F27" t="s">
        <v>104</v>
      </c>
    </row>
    <row r="28" spans="1:9" x14ac:dyDescent="0.25">
      <c r="A28" s="68" t="s">
        <v>58</v>
      </c>
      <c r="B28" s="71">
        <v>-360</v>
      </c>
      <c r="C28" s="71">
        <v>-512</v>
      </c>
      <c r="D28" s="71">
        <v>-390</v>
      </c>
      <c r="E28" s="71"/>
      <c r="F28" t="s">
        <v>24</v>
      </c>
      <c r="G28">
        <v>11584</v>
      </c>
      <c r="H28">
        <v>13066</v>
      </c>
      <c r="I28">
        <v>9366</v>
      </c>
    </row>
    <row r="29" spans="1:9" x14ac:dyDescent="0.25">
      <c r="A29" s="68" t="s">
        <v>59</v>
      </c>
      <c r="B29" s="69"/>
      <c r="C29" s="69"/>
      <c r="D29" s="69"/>
      <c r="E29" s="69"/>
      <c r="F29" t="s">
        <v>105</v>
      </c>
    </row>
    <row r="30" spans="1:9" x14ac:dyDescent="0.25">
      <c r="A30" s="69"/>
      <c r="B30" s="69"/>
      <c r="C30" s="69"/>
      <c r="D30" s="69"/>
      <c r="E30" s="69"/>
      <c r="F30" t="s">
        <v>106</v>
      </c>
      <c r="G30">
        <v>-472</v>
      </c>
      <c r="H30">
        <v>-468</v>
      </c>
      <c r="I30">
        <v>-386</v>
      </c>
    </row>
    <row r="31" spans="1:9" x14ac:dyDescent="0.25">
      <c r="A31" s="68" t="s">
        <v>60</v>
      </c>
      <c r="B31" s="69"/>
      <c r="C31" s="69"/>
      <c r="D31" s="69"/>
      <c r="E31" s="69"/>
      <c r="F31" t="s">
        <v>107</v>
      </c>
    </row>
    <row r="32" spans="1:9" x14ac:dyDescent="0.25">
      <c r="A32" s="68" t="s">
        <v>61</v>
      </c>
      <c r="B32" s="70">
        <v>3145</v>
      </c>
      <c r="C32" s="70">
        <v>1995</v>
      </c>
      <c r="D32" s="70">
        <v>-2864</v>
      </c>
      <c r="E32" s="70"/>
      <c r="F32" t="s">
        <v>108</v>
      </c>
      <c r="G32">
        <v>-58</v>
      </c>
      <c r="H32">
        <v>0</v>
      </c>
      <c r="I32">
        <v>0</v>
      </c>
    </row>
    <row r="33" spans="1:9" x14ac:dyDescent="0.25">
      <c r="A33" s="69"/>
      <c r="B33" s="69"/>
      <c r="C33" s="69"/>
      <c r="D33" s="69"/>
      <c r="E33" s="69"/>
      <c r="F33" t="s">
        <v>109</v>
      </c>
    </row>
    <row r="34" spans="1:9" x14ac:dyDescent="0.25">
      <c r="A34" s="68" t="s">
        <v>62</v>
      </c>
      <c r="B34" s="69"/>
      <c r="C34" s="69"/>
      <c r="D34" s="69"/>
      <c r="E34" s="69"/>
      <c r="F34" t="s">
        <v>110</v>
      </c>
    </row>
    <row r="35" spans="1:9" x14ac:dyDescent="0.25">
      <c r="A35" s="68" t="s">
        <v>63</v>
      </c>
      <c r="B35" s="69"/>
      <c r="C35" s="69"/>
      <c r="D35" s="69"/>
      <c r="E35" s="69"/>
      <c r="F35" t="s">
        <v>61</v>
      </c>
      <c r="G35">
        <v>11054</v>
      </c>
      <c r="H35">
        <v>12598</v>
      </c>
      <c r="I35">
        <v>8980</v>
      </c>
    </row>
    <row r="36" spans="1:9" x14ac:dyDescent="0.25">
      <c r="A36" s="68" t="s">
        <v>64</v>
      </c>
      <c r="B36" s="72">
        <v>1.75</v>
      </c>
      <c r="C36" s="72">
        <v>1.1100000000000001</v>
      </c>
      <c r="D36" s="72">
        <v>-1.57</v>
      </c>
      <c r="E36" s="72"/>
    </row>
    <row r="37" spans="1:9" x14ac:dyDescent="0.25">
      <c r="A37" s="68" t="s">
        <v>65</v>
      </c>
      <c r="B37" s="73">
        <v>-0.03</v>
      </c>
      <c r="C37" s="73">
        <v>-0.02</v>
      </c>
      <c r="D37" s="73">
        <v>-0.02</v>
      </c>
      <c r="E37" s="73"/>
      <c r="F37" t="s">
        <v>111</v>
      </c>
    </row>
    <row r="38" spans="1:9" x14ac:dyDescent="0.25">
      <c r="A38" s="68" t="s">
        <v>51</v>
      </c>
      <c r="B38" s="72">
        <v>1.72</v>
      </c>
      <c r="C38" s="72">
        <v>1.0900000000000001</v>
      </c>
      <c r="D38" s="72">
        <v>-1.58</v>
      </c>
      <c r="E38" s="72"/>
      <c r="F38" t="s">
        <v>112</v>
      </c>
    </row>
    <row r="39" spans="1:9" x14ac:dyDescent="0.25">
      <c r="A39" s="69"/>
      <c r="B39" s="69"/>
      <c r="C39" s="69"/>
      <c r="D39" s="69"/>
      <c r="E39" s="69"/>
      <c r="F39" t="s">
        <v>64</v>
      </c>
      <c r="G39">
        <v>6.27</v>
      </c>
      <c r="H39">
        <v>8.36</v>
      </c>
      <c r="I39">
        <v>5.69</v>
      </c>
    </row>
    <row r="40" spans="1:9" x14ac:dyDescent="0.25">
      <c r="A40" s="68" t="s">
        <v>66</v>
      </c>
      <c r="B40" s="69"/>
      <c r="C40" s="69"/>
      <c r="D40" s="69"/>
      <c r="E40" s="69"/>
      <c r="F40" t="s">
        <v>65</v>
      </c>
      <c r="G40">
        <v>0.37</v>
      </c>
      <c r="H40">
        <v>0</v>
      </c>
      <c r="I40">
        <v>0</v>
      </c>
    </row>
    <row r="41" spans="1:9" x14ac:dyDescent="0.25">
      <c r="A41" s="68" t="s">
        <v>64</v>
      </c>
      <c r="B41" s="72">
        <v>1.75</v>
      </c>
      <c r="C41" s="72">
        <v>1.1100000000000001</v>
      </c>
      <c r="D41" s="72">
        <v>-1.57</v>
      </c>
      <c r="E41" s="72"/>
      <c r="F41" t="s">
        <v>51</v>
      </c>
      <c r="G41">
        <v>6.64</v>
      </c>
      <c r="H41">
        <v>8.36</v>
      </c>
      <c r="I41">
        <v>5.69</v>
      </c>
    </row>
    <row r="42" spans="1:9" x14ac:dyDescent="0.25">
      <c r="A42" s="68" t="s">
        <v>65</v>
      </c>
      <c r="B42" s="73">
        <v>-0.03</v>
      </c>
      <c r="C42" s="73">
        <v>-0.02</v>
      </c>
      <c r="D42" s="73">
        <v>-0.02</v>
      </c>
      <c r="E42" s="73"/>
    </row>
    <row r="43" spans="1:9" x14ac:dyDescent="0.25">
      <c r="A43" s="68" t="s">
        <v>51</v>
      </c>
      <c r="B43" s="72">
        <v>1.73</v>
      </c>
      <c r="C43" s="72">
        <v>1.1000000000000001</v>
      </c>
      <c r="D43" s="72">
        <v>-1.58</v>
      </c>
      <c r="E43" s="72"/>
      <c r="F43" t="s">
        <v>113</v>
      </c>
    </row>
    <row r="44" spans="1:9" x14ac:dyDescent="0.25">
      <c r="A44" s="69"/>
      <c r="B44" s="69"/>
      <c r="C44" s="69"/>
      <c r="D44" s="69"/>
      <c r="E44" s="69"/>
      <c r="F44" t="s">
        <v>64</v>
      </c>
      <c r="G44">
        <v>6.3</v>
      </c>
      <c r="H44">
        <v>8.4</v>
      </c>
      <c r="I44">
        <v>5.73</v>
      </c>
    </row>
    <row r="45" spans="1:9" x14ac:dyDescent="0.25">
      <c r="A45" s="68" t="s">
        <v>67</v>
      </c>
      <c r="B45" s="69"/>
      <c r="C45" s="69"/>
      <c r="D45" s="69"/>
      <c r="E45" s="69"/>
      <c r="F45" t="s">
        <v>65</v>
      </c>
      <c r="G45">
        <v>0.37</v>
      </c>
      <c r="H45">
        <v>0</v>
      </c>
      <c r="I45">
        <v>0</v>
      </c>
    </row>
    <row r="46" spans="1:9" x14ac:dyDescent="0.25">
      <c r="A46" s="68" t="s">
        <v>68</v>
      </c>
      <c r="B46" s="69"/>
      <c r="C46" s="69"/>
      <c r="D46" s="69"/>
      <c r="E46" s="69"/>
      <c r="F46" t="s">
        <v>51</v>
      </c>
      <c r="G46">
        <v>6.68</v>
      </c>
      <c r="H46">
        <v>8.4</v>
      </c>
      <c r="I46">
        <v>5.73</v>
      </c>
    </row>
    <row r="47" spans="1:9" x14ac:dyDescent="0.25">
      <c r="A47" s="68" t="s">
        <v>63</v>
      </c>
      <c r="B47" s="71">
        <v>1827</v>
      </c>
      <c r="C47" s="71">
        <v>1828</v>
      </c>
      <c r="D47" s="71">
        <v>1808</v>
      </c>
      <c r="E47" s="71"/>
    </row>
    <row r="48" spans="1:9" x14ac:dyDescent="0.25">
      <c r="A48" s="68" t="s">
        <v>66</v>
      </c>
      <c r="B48" s="71">
        <v>1822</v>
      </c>
      <c r="C48" s="71">
        <v>1816</v>
      </c>
      <c r="D48" s="71">
        <v>1808</v>
      </c>
      <c r="E48" s="71"/>
      <c r="F48" t="s">
        <v>114</v>
      </c>
    </row>
    <row r="49" spans="6:9" x14ac:dyDescent="0.25">
      <c r="F49" t="s">
        <v>115</v>
      </c>
    </row>
    <row r="50" spans="6:9" x14ac:dyDescent="0.25">
      <c r="F50" t="s">
        <v>63</v>
      </c>
      <c r="G50">
        <v>1666</v>
      </c>
      <c r="H50">
        <v>1507</v>
      </c>
      <c r="I50">
        <v>1578</v>
      </c>
    </row>
    <row r="51" spans="6:9" x14ac:dyDescent="0.25">
      <c r="F51" t="s">
        <v>66</v>
      </c>
      <c r="G51">
        <v>1656</v>
      </c>
      <c r="H51">
        <v>1499</v>
      </c>
      <c r="I51">
        <v>1568</v>
      </c>
    </row>
  </sheetData>
  <sortState xmlns:xlrd2="http://schemas.microsoft.com/office/spreadsheetml/2017/richdata2" columnSort="1" ref="G2:I51">
    <sortCondition ref="G2:I2"/>
  </sortState>
  <mergeCells count="4">
    <mergeCell ref="A1:A2"/>
    <mergeCell ref="B1:D1"/>
    <mergeCell ref="F1:F2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76"/>
  <sheetViews>
    <sheetView topLeftCell="A16" workbookViewId="0">
      <selection activeCell="F12" sqref="F12"/>
    </sheetView>
  </sheetViews>
  <sheetFormatPr defaultRowHeight="15" x14ac:dyDescent="0.25"/>
  <cols>
    <col min="1" max="1" width="56.5703125" customWidth="1"/>
    <col min="6" max="6" width="55.140625" customWidth="1"/>
  </cols>
  <sheetData>
    <row r="1" spans="1:9" x14ac:dyDescent="0.25">
      <c r="A1" s="92" t="s">
        <v>161</v>
      </c>
      <c r="B1" s="93" t="s">
        <v>139</v>
      </c>
      <c r="C1" s="94"/>
      <c r="D1" s="94"/>
      <c r="F1" s="92" t="s">
        <v>161</v>
      </c>
      <c r="G1" s="93" t="s">
        <v>139</v>
      </c>
      <c r="H1" s="94"/>
      <c r="I1" s="94"/>
    </row>
    <row r="2" spans="1:9" ht="30" x14ac:dyDescent="0.25">
      <c r="A2" s="94"/>
      <c r="B2" s="95" t="s">
        <v>142</v>
      </c>
      <c r="C2" s="95" t="s">
        <v>141</v>
      </c>
      <c r="D2" s="95" t="s">
        <v>140</v>
      </c>
      <c r="F2" s="94"/>
      <c r="G2" s="95" t="s">
        <v>194</v>
      </c>
      <c r="H2" s="95" t="s">
        <v>193</v>
      </c>
      <c r="I2" s="95" t="s">
        <v>192</v>
      </c>
    </row>
    <row r="3" spans="1:9" x14ac:dyDescent="0.25">
      <c r="A3" s="100" t="s">
        <v>69</v>
      </c>
      <c r="B3" s="96" t="s">
        <v>162</v>
      </c>
      <c r="C3" s="96" t="s">
        <v>162</v>
      </c>
      <c r="D3" s="96" t="s">
        <v>162</v>
      </c>
      <c r="F3" s="100" t="s">
        <v>69</v>
      </c>
    </row>
    <row r="4" spans="1:9" x14ac:dyDescent="0.25">
      <c r="A4" s="96" t="s">
        <v>153</v>
      </c>
      <c r="B4" s="97">
        <v>7768</v>
      </c>
      <c r="C4" s="97">
        <v>9804</v>
      </c>
      <c r="D4" s="97">
        <v>9571</v>
      </c>
      <c r="F4" s="96" t="s">
        <v>204</v>
      </c>
      <c r="G4" s="97">
        <v>1283</v>
      </c>
      <c r="H4" s="97">
        <v>6476</v>
      </c>
      <c r="I4" s="97">
        <v>8985</v>
      </c>
    </row>
    <row r="5" spans="1:9" x14ac:dyDescent="0.25">
      <c r="A5" s="96" t="s">
        <v>52</v>
      </c>
      <c r="B5" s="98">
        <v>1536</v>
      </c>
      <c r="C5" s="98">
        <v>1452</v>
      </c>
      <c r="D5" s="98">
        <v>1260</v>
      </c>
      <c r="F5" s="96" t="s">
        <v>52</v>
      </c>
      <c r="G5" s="98">
        <v>1260</v>
      </c>
      <c r="H5" s="98">
        <v>1086</v>
      </c>
      <c r="I5" s="98">
        <v>1365</v>
      </c>
    </row>
    <row r="6" spans="1:9" x14ac:dyDescent="0.25">
      <c r="A6" s="96" t="s">
        <v>163</v>
      </c>
      <c r="B6" s="98">
        <v>126</v>
      </c>
      <c r="C6" s="98">
        <v>337</v>
      </c>
      <c r="D6" s="98">
        <v>356</v>
      </c>
      <c r="F6" s="96" t="s">
        <v>163</v>
      </c>
      <c r="G6" s="98">
        <v>219</v>
      </c>
      <c r="H6" s="98">
        <v>225</v>
      </c>
      <c r="I6" s="98">
        <v>201</v>
      </c>
    </row>
    <row r="7" spans="1:9" x14ac:dyDescent="0.25">
      <c r="A7" s="96" t="s">
        <v>70</v>
      </c>
      <c r="B7" s="98">
        <v>-18</v>
      </c>
      <c r="C7" s="98">
        <v>894</v>
      </c>
      <c r="D7" s="98">
        <v>-122</v>
      </c>
      <c r="F7" s="96" t="s">
        <v>70</v>
      </c>
      <c r="G7" s="98">
        <v>-1252</v>
      </c>
      <c r="H7" s="98">
        <v>-413</v>
      </c>
      <c r="I7" s="98">
        <v>-280</v>
      </c>
    </row>
    <row r="8" spans="1:9" x14ac:dyDescent="0.25">
      <c r="A8" s="96" t="s">
        <v>164</v>
      </c>
      <c r="B8" s="98">
        <v>-511</v>
      </c>
      <c r="C8" s="98">
        <v>-615</v>
      </c>
      <c r="D8" s="98">
        <v>-838</v>
      </c>
      <c r="F8" s="96" t="s">
        <v>211</v>
      </c>
      <c r="G8" s="98">
        <v>-628</v>
      </c>
      <c r="H8" s="98">
        <v>-457</v>
      </c>
      <c r="I8" s="98">
        <v>-421</v>
      </c>
    </row>
    <row r="9" spans="1:9" x14ac:dyDescent="0.25">
      <c r="A9" s="96" t="s">
        <v>165</v>
      </c>
      <c r="B9" s="98">
        <v>-88</v>
      </c>
      <c r="C9" s="98">
        <v>86</v>
      </c>
      <c r="D9" s="98">
        <v>203</v>
      </c>
      <c r="F9" s="96" t="s">
        <v>165</v>
      </c>
      <c r="G9" s="98">
        <v>292</v>
      </c>
      <c r="H9" s="98">
        <v>-50</v>
      </c>
      <c r="I9" s="98">
        <v>91</v>
      </c>
    </row>
    <row r="10" spans="1:9" x14ac:dyDescent="0.25">
      <c r="A10" s="96" t="s">
        <v>166</v>
      </c>
      <c r="B10" s="98">
        <v>-914</v>
      </c>
      <c r="C10" s="98">
        <v>-1365</v>
      </c>
      <c r="D10" s="98">
        <v>-129</v>
      </c>
      <c r="F10" s="96" t="s">
        <v>212</v>
      </c>
      <c r="G10" s="98">
        <v>1459</v>
      </c>
      <c r="H10" s="98">
        <v>743</v>
      </c>
      <c r="I10" s="98">
        <v>-467</v>
      </c>
    </row>
    <row r="11" spans="1:9" x14ac:dyDescent="0.25">
      <c r="A11" s="96" t="s">
        <v>146</v>
      </c>
      <c r="B11" s="98">
        <v>556</v>
      </c>
      <c r="C11" s="98">
        <v>506</v>
      </c>
      <c r="D11" s="98">
        <v>1086</v>
      </c>
      <c r="F11" s="96" t="s">
        <v>146</v>
      </c>
      <c r="G11" s="98">
        <v>1218</v>
      </c>
      <c r="H11" s="98">
        <v>558</v>
      </c>
      <c r="I11" s="98">
        <v>127</v>
      </c>
    </row>
    <row r="12" spans="1:9" x14ac:dyDescent="0.25">
      <c r="A12" s="96" t="s">
        <v>167</v>
      </c>
      <c r="B12" s="98">
        <v>699</v>
      </c>
      <c r="C12" s="98">
        <v>201</v>
      </c>
      <c r="D12" s="98">
        <v>236</v>
      </c>
      <c r="F12" s="96" t="s">
        <v>167</v>
      </c>
      <c r="G12" s="98">
        <v>-252</v>
      </c>
      <c r="H12" s="98">
        <v>699</v>
      </c>
      <c r="I12" s="98">
        <v>504</v>
      </c>
    </row>
    <row r="13" spans="1:9" x14ac:dyDescent="0.25">
      <c r="A13" s="96" t="s">
        <v>168</v>
      </c>
      <c r="B13" s="98">
        <v>690</v>
      </c>
      <c r="C13" s="98">
        <v>1325</v>
      </c>
      <c r="D13" s="98">
        <v>-605</v>
      </c>
      <c r="F13" s="96" t="s">
        <v>168</v>
      </c>
      <c r="G13" s="98">
        <v>3442</v>
      </c>
      <c r="H13" s="98">
        <v>-1240</v>
      </c>
      <c r="I13" s="98">
        <v>366</v>
      </c>
    </row>
    <row r="14" spans="1:9" x14ac:dyDescent="0.25">
      <c r="A14" s="96" t="s">
        <v>169</v>
      </c>
      <c r="B14" s="98">
        <v>9844</v>
      </c>
      <c r="C14" s="98">
        <v>12625</v>
      </c>
      <c r="D14" s="98">
        <v>11018</v>
      </c>
      <c r="F14" s="96" t="s">
        <v>213</v>
      </c>
      <c r="G14" s="98">
        <v>7041</v>
      </c>
      <c r="H14" s="98">
        <v>7627</v>
      </c>
      <c r="I14" s="98">
        <v>10471</v>
      </c>
    </row>
    <row r="15" spans="1:9" x14ac:dyDescent="0.25">
      <c r="A15" s="100" t="s">
        <v>74</v>
      </c>
      <c r="B15" s="96" t="s">
        <v>162</v>
      </c>
      <c r="C15" s="96" t="s">
        <v>162</v>
      </c>
      <c r="D15" s="96" t="s">
        <v>162</v>
      </c>
      <c r="F15" s="100" t="s">
        <v>74</v>
      </c>
    </row>
    <row r="16" spans="1:9" x14ac:dyDescent="0.25">
      <c r="A16" s="96" t="s">
        <v>170</v>
      </c>
      <c r="B16" s="98">
        <v>-13583</v>
      </c>
      <c r="C16" s="98">
        <v>-6030</v>
      </c>
      <c r="D16" s="98">
        <v>-3751</v>
      </c>
      <c r="F16" s="96" t="s">
        <v>170</v>
      </c>
      <c r="G16" s="98">
        <v>-17296</v>
      </c>
      <c r="H16" s="98">
        <v>-7789</v>
      </c>
      <c r="I16" s="98">
        <v>-4704</v>
      </c>
    </row>
    <row r="17" spans="1:9" x14ac:dyDescent="0.25">
      <c r="A17" s="96" t="s">
        <v>171</v>
      </c>
      <c r="B17" s="98">
        <v>13835</v>
      </c>
      <c r="C17" s="98">
        <v>7059</v>
      </c>
      <c r="D17" s="98">
        <v>4771</v>
      </c>
      <c r="F17" s="96" t="s">
        <v>171</v>
      </c>
      <c r="G17" s="98">
        <v>16694</v>
      </c>
      <c r="H17" s="98">
        <v>14977</v>
      </c>
      <c r="I17" s="98">
        <v>6973</v>
      </c>
    </row>
    <row r="18" spans="1:9" ht="30" x14ac:dyDescent="0.25">
      <c r="A18" s="96" t="s">
        <v>172</v>
      </c>
      <c r="B18" s="98">
        <v>-1052</v>
      </c>
      <c r="C18" s="98">
        <v>-4766</v>
      </c>
      <c r="D18" s="98">
        <v>-73</v>
      </c>
      <c r="F18" s="96" t="s">
        <v>172</v>
      </c>
      <c r="G18" s="98">
        <v>-3809</v>
      </c>
      <c r="H18" s="98">
        <v>-1263</v>
      </c>
      <c r="I18" s="98">
        <v>-5542</v>
      </c>
    </row>
    <row r="19" spans="1:9" ht="30" x14ac:dyDescent="0.25">
      <c r="A19" s="96" t="s">
        <v>173</v>
      </c>
      <c r="B19" s="98">
        <v>189</v>
      </c>
      <c r="C19" s="98">
        <v>2180</v>
      </c>
      <c r="D19" s="98">
        <v>458</v>
      </c>
      <c r="F19" s="96" t="s">
        <v>214</v>
      </c>
      <c r="G19" s="98">
        <v>3821</v>
      </c>
      <c r="H19" s="98">
        <v>1362</v>
      </c>
      <c r="I19" s="98">
        <v>429</v>
      </c>
    </row>
    <row r="20" spans="1:9" x14ac:dyDescent="0.25">
      <c r="A20" s="96" t="s">
        <v>174</v>
      </c>
      <c r="B20" s="98">
        <v>-1177</v>
      </c>
      <c r="C20" s="98">
        <v>-1367</v>
      </c>
      <c r="D20" s="98">
        <v>-1484</v>
      </c>
      <c r="F20" s="96" t="s">
        <v>174</v>
      </c>
      <c r="G20" s="98">
        <v>-1750</v>
      </c>
      <c r="H20" s="98">
        <v>-1548</v>
      </c>
      <c r="I20" s="98">
        <v>-2054</v>
      </c>
    </row>
    <row r="21" spans="1:9" x14ac:dyDescent="0.25">
      <c r="A21" s="96" t="s">
        <v>175</v>
      </c>
      <c r="B21" s="98">
        <v>189</v>
      </c>
      <c r="C21" s="98">
        <v>108</v>
      </c>
      <c r="D21" s="98">
        <v>75</v>
      </c>
      <c r="F21" s="96" t="s">
        <v>175</v>
      </c>
      <c r="G21" s="98">
        <v>108</v>
      </c>
      <c r="H21" s="98">
        <v>248</v>
      </c>
      <c r="I21" s="98">
        <v>978</v>
      </c>
    </row>
    <row r="22" spans="1:9" ht="30" x14ac:dyDescent="0.25">
      <c r="A22" s="96" t="s">
        <v>176</v>
      </c>
      <c r="B22" s="98">
        <v>0</v>
      </c>
      <c r="C22" s="98">
        <v>0</v>
      </c>
      <c r="D22" s="98">
        <v>-1465</v>
      </c>
      <c r="F22" s="96" t="s">
        <v>177</v>
      </c>
      <c r="G22" s="98">
        <v>-80</v>
      </c>
      <c r="H22" s="98">
        <v>-60</v>
      </c>
      <c r="I22" s="98">
        <v>-56</v>
      </c>
    </row>
    <row r="23" spans="1:9" x14ac:dyDescent="0.25">
      <c r="A23" s="96" t="s">
        <v>177</v>
      </c>
      <c r="B23" s="98">
        <v>122</v>
      </c>
      <c r="C23" s="98">
        <v>51</v>
      </c>
      <c r="D23" s="98">
        <v>706</v>
      </c>
      <c r="F23" s="96" t="s">
        <v>215</v>
      </c>
      <c r="G23" s="98">
        <v>-2312</v>
      </c>
      <c r="H23" s="98">
        <v>5927</v>
      </c>
      <c r="I23" s="98">
        <v>-3976</v>
      </c>
    </row>
    <row r="24" spans="1:9" x14ac:dyDescent="0.25">
      <c r="A24" s="96" t="s">
        <v>178</v>
      </c>
      <c r="B24" s="98">
        <v>-1477</v>
      </c>
      <c r="C24" s="98">
        <v>-2765</v>
      </c>
      <c r="D24" s="98">
        <v>-763</v>
      </c>
      <c r="F24" s="100" t="s">
        <v>75</v>
      </c>
    </row>
    <row r="25" spans="1:9" x14ac:dyDescent="0.25">
      <c r="A25" s="100" t="s">
        <v>75</v>
      </c>
      <c r="B25" s="96" t="s">
        <v>162</v>
      </c>
      <c r="C25" s="96" t="s">
        <v>162</v>
      </c>
      <c r="D25" s="96" t="s">
        <v>162</v>
      </c>
      <c r="F25" s="96" t="s">
        <v>179</v>
      </c>
      <c r="G25" s="98">
        <v>29926</v>
      </c>
      <c r="H25" s="98">
        <v>27605</v>
      </c>
      <c r="I25" s="98">
        <v>23009</v>
      </c>
    </row>
    <row r="26" spans="1:9" x14ac:dyDescent="0.25">
      <c r="A26" s="96" t="s">
        <v>179</v>
      </c>
      <c r="B26" s="98">
        <v>26934</v>
      </c>
      <c r="C26" s="98">
        <v>13094</v>
      </c>
      <c r="D26" s="98">
        <v>3972</v>
      </c>
      <c r="F26" s="96" t="s">
        <v>180</v>
      </c>
      <c r="G26" s="98">
        <v>-28871</v>
      </c>
      <c r="H26" s="98">
        <v>-30600</v>
      </c>
      <c r="I26" s="98">
        <v>-24850</v>
      </c>
    </row>
    <row r="27" spans="1:9" x14ac:dyDescent="0.25">
      <c r="A27" s="96" t="s">
        <v>180</v>
      </c>
      <c r="B27" s="98">
        <v>-28796</v>
      </c>
      <c r="C27" s="98">
        <v>-12866</v>
      </c>
      <c r="D27" s="98">
        <v>-4930</v>
      </c>
      <c r="F27" s="96" t="s">
        <v>181</v>
      </c>
      <c r="G27" s="98">
        <v>1595</v>
      </c>
      <c r="H27" s="98">
        <v>1476</v>
      </c>
      <c r="I27" s="98">
        <v>1012</v>
      </c>
    </row>
    <row r="28" spans="1:9" x14ac:dyDescent="0.25">
      <c r="A28" s="96" t="s">
        <v>181</v>
      </c>
      <c r="B28" s="98">
        <v>647</v>
      </c>
      <c r="C28" s="98">
        <v>702</v>
      </c>
      <c r="D28" s="98">
        <v>837</v>
      </c>
      <c r="F28" s="96" t="s">
        <v>182</v>
      </c>
      <c r="G28" s="98">
        <v>-3682</v>
      </c>
      <c r="H28" s="98">
        <v>-1912</v>
      </c>
      <c r="I28" s="98">
        <v>-1103</v>
      </c>
    </row>
    <row r="29" spans="1:9" x14ac:dyDescent="0.25">
      <c r="A29" s="96" t="s">
        <v>182</v>
      </c>
      <c r="B29" s="98">
        <v>-118</v>
      </c>
      <c r="C29" s="98">
        <v>-111</v>
      </c>
      <c r="D29" s="98">
        <v>-1418</v>
      </c>
      <c r="F29" s="96" t="s">
        <v>78</v>
      </c>
      <c r="G29" s="98">
        <v>-6320</v>
      </c>
      <c r="H29" s="98">
        <v>-6644</v>
      </c>
      <c r="I29" s="98">
        <v>-6845</v>
      </c>
    </row>
    <row r="30" spans="1:9" x14ac:dyDescent="0.25">
      <c r="A30" s="96" t="s">
        <v>78</v>
      </c>
      <c r="B30" s="98">
        <v>-7047</v>
      </c>
      <c r="C30" s="98">
        <v>-7252</v>
      </c>
      <c r="D30" s="98">
        <v>-7616</v>
      </c>
      <c r="F30" s="96" t="s">
        <v>183</v>
      </c>
      <c r="G30" s="98">
        <v>-95</v>
      </c>
      <c r="H30" s="98">
        <v>-272</v>
      </c>
      <c r="I30" s="98">
        <v>-227</v>
      </c>
    </row>
    <row r="31" spans="1:9" x14ac:dyDescent="0.25">
      <c r="A31" s="96" t="s">
        <v>183</v>
      </c>
      <c r="B31" s="98">
        <v>310</v>
      </c>
      <c r="C31" s="98">
        <v>-353</v>
      </c>
      <c r="D31" s="98">
        <v>-1095</v>
      </c>
      <c r="F31" s="96" t="s">
        <v>216</v>
      </c>
      <c r="G31" s="98">
        <v>-7447</v>
      </c>
      <c r="H31" s="98">
        <v>-10347</v>
      </c>
      <c r="I31" s="98">
        <v>-9004</v>
      </c>
    </row>
    <row r="32" spans="1:9" ht="30" x14ac:dyDescent="0.25">
      <c r="A32" s="96" t="s">
        <v>184</v>
      </c>
      <c r="B32" s="98">
        <v>-8070</v>
      </c>
      <c r="C32" s="98">
        <v>-6786</v>
      </c>
      <c r="D32" s="98">
        <v>-10250</v>
      </c>
      <c r="F32" s="96" t="s">
        <v>217</v>
      </c>
      <c r="G32" s="98">
        <v>241</v>
      </c>
      <c r="H32" s="98">
        <v>-262</v>
      </c>
      <c r="I32" s="98">
        <v>-72</v>
      </c>
    </row>
    <row r="33" spans="1:9" x14ac:dyDescent="0.25">
      <c r="A33" s="100" t="s">
        <v>185</v>
      </c>
      <c r="B33" s="96" t="s">
        <v>162</v>
      </c>
      <c r="C33" s="96" t="s">
        <v>162</v>
      </c>
      <c r="D33" s="96" t="s">
        <v>162</v>
      </c>
      <c r="F33" s="100" t="s">
        <v>185</v>
      </c>
    </row>
    <row r="34" spans="1:9" ht="45" x14ac:dyDescent="0.25">
      <c r="A34" s="96" t="s">
        <v>186</v>
      </c>
      <c r="B34" s="98">
        <v>76</v>
      </c>
      <c r="C34" s="98">
        <v>-159</v>
      </c>
      <c r="D34" s="98">
        <v>-205</v>
      </c>
      <c r="F34" s="96" t="s">
        <v>187</v>
      </c>
      <c r="G34" s="98">
        <v>-2477</v>
      </c>
      <c r="H34" s="98">
        <v>2945</v>
      </c>
      <c r="I34" s="98">
        <v>-2581</v>
      </c>
    </row>
    <row r="35" spans="1:9" ht="30" x14ac:dyDescent="0.25">
      <c r="A35" s="96" t="s">
        <v>187</v>
      </c>
      <c r="B35" s="98">
        <v>373</v>
      </c>
      <c r="C35" s="98">
        <v>2915</v>
      </c>
      <c r="D35" s="98">
        <v>-200</v>
      </c>
      <c r="F35" s="96" t="s">
        <v>218</v>
      </c>
      <c r="G35" s="98">
        <v>8850</v>
      </c>
      <c r="H35" s="98">
        <v>6373</v>
      </c>
      <c r="I35" s="98">
        <v>9318</v>
      </c>
    </row>
    <row r="36" spans="1:9" ht="30" x14ac:dyDescent="0.25">
      <c r="A36" s="96" t="s">
        <v>188</v>
      </c>
      <c r="B36" s="98">
        <v>6737</v>
      </c>
      <c r="C36" s="98">
        <v>7110</v>
      </c>
      <c r="D36" s="98">
        <v>10025</v>
      </c>
      <c r="F36" s="96" t="s">
        <v>219</v>
      </c>
      <c r="G36" s="98">
        <v>6373</v>
      </c>
      <c r="H36" s="98">
        <v>9318</v>
      </c>
      <c r="I36" s="98">
        <v>6737</v>
      </c>
    </row>
    <row r="37" spans="1:9" ht="30" x14ac:dyDescent="0.25">
      <c r="A37" s="96" t="s">
        <v>189</v>
      </c>
      <c r="B37" s="98">
        <v>7110</v>
      </c>
      <c r="C37" s="98">
        <v>10025</v>
      </c>
      <c r="D37" s="98">
        <v>9825</v>
      </c>
      <c r="F37" s="96" t="s">
        <v>220</v>
      </c>
      <c r="G37" s="98">
        <v>271</v>
      </c>
      <c r="H37" s="98">
        <v>241</v>
      </c>
      <c r="I37" s="98">
        <v>257</v>
      </c>
    </row>
    <row r="38" spans="1:9" x14ac:dyDescent="0.25">
      <c r="A38" s="96" t="s">
        <v>190</v>
      </c>
      <c r="B38" s="98">
        <v>315</v>
      </c>
      <c r="C38" s="98">
        <v>341</v>
      </c>
      <c r="D38" s="98">
        <v>306</v>
      </c>
      <c r="F38" s="96" t="s">
        <v>191</v>
      </c>
      <c r="G38" s="97">
        <v>6102</v>
      </c>
      <c r="H38" s="97">
        <v>9077</v>
      </c>
      <c r="I38" s="97">
        <v>6480</v>
      </c>
    </row>
    <row r="39" spans="1:9" x14ac:dyDescent="0.25">
      <c r="A39" s="96" t="s">
        <v>191</v>
      </c>
      <c r="B39" s="97">
        <v>6795</v>
      </c>
      <c r="C39" s="97">
        <v>9684</v>
      </c>
      <c r="D39" s="97">
        <v>9519</v>
      </c>
      <c r="F39" t="s">
        <v>117</v>
      </c>
    </row>
    <row r="40" spans="1:9" x14ac:dyDescent="0.25">
      <c r="A40" s="68" t="s">
        <v>78</v>
      </c>
      <c r="B40" s="71">
        <v>-1587</v>
      </c>
      <c r="C40" s="74">
        <v>0</v>
      </c>
      <c r="D40" s="74">
        <v>0</v>
      </c>
      <c r="F40" t="s">
        <v>118</v>
      </c>
      <c r="G40">
        <v>1247</v>
      </c>
      <c r="H40">
        <v>-1768</v>
      </c>
      <c r="I40">
        <v>4318</v>
      </c>
    </row>
    <row r="41" spans="1:9" x14ac:dyDescent="0.25">
      <c r="A41" s="69"/>
      <c r="B41" s="69"/>
      <c r="C41" s="69"/>
      <c r="D41" s="69"/>
      <c r="F41" t="s">
        <v>76</v>
      </c>
      <c r="G41">
        <v>4820</v>
      </c>
      <c r="H41">
        <v>1056</v>
      </c>
      <c r="I41">
        <v>38240</v>
      </c>
    </row>
    <row r="42" spans="1:9" x14ac:dyDescent="0.25">
      <c r="A42" s="68" t="s">
        <v>79</v>
      </c>
      <c r="B42" s="71">
        <v>305</v>
      </c>
      <c r="C42" s="71">
        <v>435</v>
      </c>
      <c r="D42" s="71">
        <v>127</v>
      </c>
      <c r="F42" t="s">
        <v>77</v>
      </c>
      <c r="G42">
        <v>-2364</v>
      </c>
      <c r="H42">
        <v>-1871</v>
      </c>
      <c r="I42">
        <v>-38881</v>
      </c>
    </row>
    <row r="43" spans="1:9" x14ac:dyDescent="0.25">
      <c r="A43" s="69"/>
      <c r="B43" s="69"/>
      <c r="C43" s="69"/>
      <c r="D43" s="69"/>
      <c r="F43" t="s">
        <v>78</v>
      </c>
      <c r="G43">
        <v>-2445</v>
      </c>
      <c r="H43">
        <v>-2515</v>
      </c>
      <c r="I43">
        <v>-2895</v>
      </c>
    </row>
    <row r="44" spans="1:9" x14ac:dyDescent="0.25">
      <c r="A44" s="68" t="s">
        <v>80</v>
      </c>
      <c r="B44" s="74">
        <v>0</v>
      </c>
      <c r="C44" s="71">
        <v>-350</v>
      </c>
      <c r="D44" s="74">
        <v>0</v>
      </c>
      <c r="F44" t="s">
        <v>119</v>
      </c>
      <c r="G44">
        <v>-9368</v>
      </c>
      <c r="H44">
        <v>-3577</v>
      </c>
      <c r="I44">
        <v>0</v>
      </c>
    </row>
    <row r="45" spans="1:9" x14ac:dyDescent="0.25">
      <c r="A45" s="68" t="s">
        <v>71</v>
      </c>
      <c r="B45" s="71">
        <v>-1471</v>
      </c>
      <c r="C45" s="71">
        <v>-771</v>
      </c>
      <c r="D45" s="71">
        <v>-839</v>
      </c>
      <c r="F45" t="s">
        <v>79</v>
      </c>
      <c r="G45">
        <v>276</v>
      </c>
      <c r="H45">
        <v>210</v>
      </c>
      <c r="I45">
        <v>318</v>
      </c>
    </row>
    <row r="46" spans="1:9" x14ac:dyDescent="0.25">
      <c r="A46" s="68" t="s">
        <v>81</v>
      </c>
      <c r="B46" s="69"/>
      <c r="C46" s="69"/>
      <c r="D46" s="69"/>
      <c r="F46" t="s">
        <v>120</v>
      </c>
    </row>
    <row r="47" spans="1:9" x14ac:dyDescent="0.25">
      <c r="A47" s="68" t="s">
        <v>82</v>
      </c>
      <c r="B47" s="71">
        <v>8480</v>
      </c>
      <c r="C47" s="71">
        <v>-4385</v>
      </c>
      <c r="D47" s="71">
        <v>-4729</v>
      </c>
      <c r="F47" t="s">
        <v>107</v>
      </c>
      <c r="G47">
        <v>17</v>
      </c>
      <c r="H47">
        <v>399</v>
      </c>
      <c r="I47">
        <v>737</v>
      </c>
    </row>
    <row r="48" spans="1:9" x14ac:dyDescent="0.25">
      <c r="A48" s="69"/>
      <c r="B48" s="69"/>
      <c r="C48" s="69"/>
      <c r="D48" s="69"/>
      <c r="F48" t="s">
        <v>121</v>
      </c>
    </row>
    <row r="49" spans="1:9" x14ac:dyDescent="0.25">
      <c r="A49" s="68" t="s">
        <v>83</v>
      </c>
      <c r="B49" s="69"/>
      <c r="C49" s="69"/>
      <c r="D49" s="69"/>
      <c r="F49" t="s">
        <v>122</v>
      </c>
      <c r="G49">
        <v>0</v>
      </c>
      <c r="H49">
        <v>0</v>
      </c>
      <c r="I49">
        <v>-1430</v>
      </c>
    </row>
    <row r="50" spans="1:9" x14ac:dyDescent="0.25">
      <c r="A50" s="68" t="s">
        <v>84</v>
      </c>
      <c r="B50" s="69"/>
      <c r="C50" s="69"/>
      <c r="D50" s="69"/>
      <c r="F50" t="s">
        <v>116</v>
      </c>
      <c r="G50">
        <v>-1142</v>
      </c>
      <c r="H50">
        <v>-777</v>
      </c>
      <c r="I50">
        <v>-871</v>
      </c>
    </row>
    <row r="51" spans="1:9" x14ac:dyDescent="0.25">
      <c r="A51" s="68" t="s">
        <v>73</v>
      </c>
      <c r="B51" s="71">
        <v>2</v>
      </c>
      <c r="C51" s="71">
        <v>1</v>
      </c>
      <c r="D51" s="71">
        <v>8</v>
      </c>
      <c r="F51" t="s">
        <v>123</v>
      </c>
    </row>
    <row r="52" spans="1:9" x14ac:dyDescent="0.25">
      <c r="A52" s="68" t="s">
        <v>85</v>
      </c>
      <c r="B52" s="69"/>
      <c r="C52" s="69"/>
      <c r="D52" s="69"/>
      <c r="F52" t="s">
        <v>82</v>
      </c>
      <c r="G52">
        <v>-8959</v>
      </c>
      <c r="H52">
        <v>-8843</v>
      </c>
      <c r="I52">
        <v>-464</v>
      </c>
    </row>
    <row r="53" spans="1:9" x14ac:dyDescent="0.25">
      <c r="A53" s="68" t="s">
        <v>86</v>
      </c>
      <c r="B53" s="71">
        <v>213</v>
      </c>
      <c r="C53" s="71">
        <v>8</v>
      </c>
      <c r="D53" s="74">
        <v>0</v>
      </c>
    </row>
    <row r="54" spans="1:9" x14ac:dyDescent="0.25">
      <c r="A54" s="68" t="s">
        <v>87</v>
      </c>
      <c r="B54" s="69"/>
      <c r="C54" s="69"/>
      <c r="D54" s="69"/>
      <c r="F54" t="s">
        <v>83</v>
      </c>
    </row>
    <row r="55" spans="1:9" x14ac:dyDescent="0.25">
      <c r="A55" s="68" t="s">
        <v>73</v>
      </c>
      <c r="B55" s="74">
        <v>0</v>
      </c>
      <c r="C55" s="74">
        <v>0</v>
      </c>
      <c r="D55" s="71">
        <v>-12</v>
      </c>
      <c r="F55" t="s">
        <v>124</v>
      </c>
    </row>
    <row r="56" spans="1:9" x14ac:dyDescent="0.25">
      <c r="A56" s="68" t="s">
        <v>88</v>
      </c>
      <c r="B56" s="71">
        <v>215</v>
      </c>
      <c r="C56" s="71">
        <v>9</v>
      </c>
      <c r="D56" s="71">
        <v>-4</v>
      </c>
      <c r="F56" t="s">
        <v>86</v>
      </c>
      <c r="G56">
        <v>0</v>
      </c>
      <c r="H56">
        <v>0</v>
      </c>
      <c r="I56">
        <v>622</v>
      </c>
    </row>
    <row r="57" spans="1:9" x14ac:dyDescent="0.25">
      <c r="A57" s="69"/>
      <c r="B57" s="69"/>
      <c r="C57" s="69"/>
      <c r="D57" s="69"/>
      <c r="F57" t="s">
        <v>85</v>
      </c>
    </row>
    <row r="58" spans="1:9" x14ac:dyDescent="0.25">
      <c r="A58" s="68" t="s">
        <v>89</v>
      </c>
      <c r="B58" s="69"/>
      <c r="C58" s="69"/>
      <c r="D58" s="69"/>
      <c r="F58" t="s">
        <v>86</v>
      </c>
      <c r="G58">
        <v>0</v>
      </c>
      <c r="H58">
        <v>0</v>
      </c>
      <c r="I58">
        <v>10978</v>
      </c>
    </row>
    <row r="59" spans="1:9" x14ac:dyDescent="0.25">
      <c r="A59" s="68" t="s">
        <v>90</v>
      </c>
      <c r="B59" s="71">
        <v>38</v>
      </c>
      <c r="C59" s="71">
        <v>30</v>
      </c>
      <c r="D59" s="71">
        <v>-603</v>
      </c>
      <c r="F59" t="s">
        <v>123</v>
      </c>
    </row>
    <row r="60" spans="1:9" x14ac:dyDescent="0.25">
      <c r="A60" s="69"/>
      <c r="B60" s="69"/>
      <c r="C60" s="69"/>
      <c r="D60" s="69"/>
      <c r="F60" t="s">
        <v>86</v>
      </c>
      <c r="G60">
        <v>0</v>
      </c>
      <c r="H60">
        <v>0</v>
      </c>
      <c r="I60">
        <v>-626</v>
      </c>
    </row>
    <row r="61" spans="1:9" x14ac:dyDescent="0.25">
      <c r="A61" s="68" t="s">
        <v>91</v>
      </c>
      <c r="B61" s="69"/>
      <c r="C61" s="69"/>
      <c r="D61" s="69"/>
      <c r="F61" t="s">
        <v>125</v>
      </c>
      <c r="G61">
        <v>0</v>
      </c>
      <c r="H61">
        <v>0</v>
      </c>
      <c r="I61">
        <v>10974</v>
      </c>
    </row>
    <row r="62" spans="1:9" x14ac:dyDescent="0.25">
      <c r="A62" s="68" t="s">
        <v>92</v>
      </c>
      <c r="B62" s="71">
        <v>12499</v>
      </c>
      <c r="C62" s="71">
        <v>-1951</v>
      </c>
      <c r="D62" s="71">
        <v>-4342</v>
      </c>
    </row>
    <row r="63" spans="1:9" x14ac:dyDescent="0.25">
      <c r="A63" s="68" t="s">
        <v>93</v>
      </c>
      <c r="B63" s="69"/>
      <c r="C63" s="69"/>
      <c r="D63" s="69"/>
      <c r="F63" t="s">
        <v>126</v>
      </c>
    </row>
    <row r="64" spans="1:9" x14ac:dyDescent="0.25">
      <c r="A64" s="68" t="s">
        <v>94</v>
      </c>
      <c r="B64" s="71">
        <v>5455</v>
      </c>
      <c r="C64" s="71">
        <v>17954</v>
      </c>
      <c r="D64" s="71">
        <v>16003</v>
      </c>
      <c r="F64" t="s">
        <v>127</v>
      </c>
      <c r="G64">
        <v>31</v>
      </c>
      <c r="H64">
        <v>-25</v>
      </c>
      <c r="I64">
        <v>-98</v>
      </c>
    </row>
    <row r="65" spans="1:9" x14ac:dyDescent="0.25">
      <c r="A65" s="68" t="s">
        <v>95</v>
      </c>
      <c r="B65" s="69"/>
      <c r="C65" s="69"/>
      <c r="D65" s="69"/>
    </row>
    <row r="66" spans="1:9" x14ac:dyDescent="0.25">
      <c r="A66" s="68" t="s">
        <v>96</v>
      </c>
      <c r="B66" s="70">
        <v>17954</v>
      </c>
      <c r="C66" s="70">
        <v>16003</v>
      </c>
      <c r="D66" s="70">
        <v>11661</v>
      </c>
      <c r="F66" t="s">
        <v>128</v>
      </c>
    </row>
    <row r="67" spans="1:9" x14ac:dyDescent="0.25">
      <c r="A67" s="69"/>
      <c r="B67" s="69"/>
      <c r="C67" s="69"/>
      <c r="D67" s="69"/>
      <c r="F67" t="s">
        <v>129</v>
      </c>
      <c r="G67">
        <v>-696</v>
      </c>
      <c r="H67">
        <v>91</v>
      </c>
      <c r="I67">
        <v>1300</v>
      </c>
    </row>
    <row r="68" spans="1:9" x14ac:dyDescent="0.25">
      <c r="A68" s="68" t="s">
        <v>97</v>
      </c>
      <c r="B68" s="69"/>
      <c r="C68" s="69"/>
      <c r="D68" s="69"/>
      <c r="F68" t="s">
        <v>130</v>
      </c>
    </row>
    <row r="69" spans="1:9" x14ac:dyDescent="0.25">
      <c r="A69" s="68" t="s">
        <v>98</v>
      </c>
      <c r="B69" s="70">
        <v>1559</v>
      </c>
      <c r="C69" s="70">
        <v>1892</v>
      </c>
      <c r="D69" s="70">
        <v>1685</v>
      </c>
      <c r="F69" t="s">
        <v>131</v>
      </c>
      <c r="G69">
        <v>4760</v>
      </c>
      <c r="H69">
        <v>4064</v>
      </c>
      <c r="I69">
        <v>4155</v>
      </c>
    </row>
    <row r="70" spans="1:9" x14ac:dyDescent="0.25">
      <c r="A70" s="68" t="s">
        <v>99</v>
      </c>
      <c r="B70" s="70">
        <v>738</v>
      </c>
      <c r="C70" s="70">
        <v>1638</v>
      </c>
      <c r="D70" s="70">
        <v>1097</v>
      </c>
      <c r="F70" t="s">
        <v>130</v>
      </c>
    </row>
    <row r="71" spans="1:9" x14ac:dyDescent="0.25">
      <c r="F71" t="s">
        <v>132</v>
      </c>
      <c r="G71">
        <v>4064</v>
      </c>
      <c r="H71">
        <v>4155</v>
      </c>
      <c r="I71">
        <v>5455</v>
      </c>
    </row>
    <row r="73" spans="1:9" x14ac:dyDescent="0.25">
      <c r="F73" t="s">
        <v>133</v>
      </c>
    </row>
    <row r="74" spans="1:9" x14ac:dyDescent="0.25">
      <c r="F74" t="s">
        <v>134</v>
      </c>
    </row>
    <row r="75" spans="1:9" x14ac:dyDescent="0.25">
      <c r="F75" t="s">
        <v>98</v>
      </c>
      <c r="G75">
        <v>466</v>
      </c>
      <c r="H75">
        <v>631</v>
      </c>
      <c r="I75">
        <v>1142</v>
      </c>
    </row>
    <row r="76" spans="1:9" x14ac:dyDescent="0.25">
      <c r="F76" t="s">
        <v>99</v>
      </c>
      <c r="G76">
        <v>3801</v>
      </c>
      <c r="H76">
        <v>2503</v>
      </c>
      <c r="I76">
        <v>9259</v>
      </c>
    </row>
  </sheetData>
  <sortState xmlns:xlrd2="http://schemas.microsoft.com/office/spreadsheetml/2017/richdata2" columnSort="1" ref="G2:I76">
    <sortCondition ref="G2:I2"/>
  </sortState>
  <mergeCells count="4">
    <mergeCell ref="G1:I1"/>
    <mergeCell ref="A1:A2"/>
    <mergeCell ref="B1:D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v>0.19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0.65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'KO DCF'!D63</f>
        <v>244325.48187800002</v>
      </c>
      <c r="D12" s="2"/>
      <c r="E12" s="2" t="s">
        <v>33</v>
      </c>
      <c r="F12" s="2"/>
      <c r="G12" s="23">
        <f>'KO DCF'!D60</f>
        <v>20145</v>
      </c>
      <c r="H12" s="2"/>
      <c r="I12" s="2" t="s">
        <v>45</v>
      </c>
      <c r="J12" s="2"/>
      <c r="K12" s="23">
        <f>G12+C12</f>
        <v>264470.48187800002</v>
      </c>
      <c r="L12" s="2"/>
    </row>
    <row r="13" spans="1:12" x14ac:dyDescent="0.25">
      <c r="A13" s="2" t="s">
        <v>46</v>
      </c>
      <c r="B13" s="2"/>
      <c r="C13" s="47">
        <f>C12/K12</f>
        <v>0.92382892844240794</v>
      </c>
      <c r="D13" s="2"/>
      <c r="E13" s="2" t="s">
        <v>47</v>
      </c>
      <c r="F13" s="2"/>
      <c r="G13" s="48">
        <f>G12/K12</f>
        <v>7.617107155759209E-2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7.5999999999999998E-2</v>
      </c>
      <c r="D14" s="2"/>
      <c r="E14" s="2" t="s">
        <v>49</v>
      </c>
      <c r="F14" s="2"/>
      <c r="G14" s="48">
        <v>0.02</v>
      </c>
      <c r="H14" s="2"/>
      <c r="I14" s="50" t="s">
        <v>1</v>
      </c>
      <c r="J14" s="51"/>
      <c r="K14" s="52">
        <f>C13*C14+G14*G13*(1-D6)</f>
        <v>7.1444969920855986E-2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2023-09-26T15:19:51Z</dcterms:modified>
</cp:coreProperties>
</file>